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U:\SUSTAINABILITY\EU Fiscal Framework - Technical guidance\Outputs\SF24\Excel spreadsheets\2024-06-19 prior guidance - calculation sheets\"/>
    </mc:Choice>
  </mc:AlternateContent>
  <xr:revisionPtr revIDLastSave="0" documentId="13_ncr:1_{ECE63FC2-FFB7-4482-BFE8-5DD80CB35DE0}" xr6:coauthVersionLast="47" xr6:coauthVersionMax="47" xr10:uidLastSave="{00000000-0000-0000-0000-000000000000}"/>
  <bookViews>
    <workbookView xWindow="28680" yWindow="-120" windowWidth="29040" windowHeight="15990" tabRatio="788" xr2:uid="{00000000-000D-0000-FFFF-FFFF00000000}"/>
  </bookViews>
  <sheets>
    <sheet name="Read me" sheetId="37" r:id="rId1"/>
    <sheet name="Criteria results" sheetId="35" r:id="rId2"/>
    <sheet name="Input data" sheetId="8" r:id="rId3"/>
    <sheet name="Baseline NFPC" sheetId="9" r:id="rId4"/>
    <sheet name="Adjustment scenario" sheetId="21" r:id="rId5"/>
    <sheet name="Adjust. no safeguard" sheetId="40" r:id="rId6"/>
    <sheet name="FASTOP reporting" sheetId="44" r:id="rId7"/>
  </sheet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04" i="40" l="1"/>
  <c r="V104" i="40"/>
  <c r="U104" i="40"/>
  <c r="T104" i="40"/>
  <c r="S104" i="40"/>
  <c r="R104" i="40"/>
  <c r="Q104" i="40"/>
  <c r="P104" i="40"/>
  <c r="O104" i="40"/>
  <c r="N104" i="40"/>
  <c r="M104" i="40"/>
  <c r="L104" i="40"/>
  <c r="K104" i="40"/>
  <c r="J104" i="40"/>
  <c r="I104" i="40"/>
  <c r="H104" i="40"/>
  <c r="G104" i="40"/>
  <c r="F104" i="40"/>
  <c r="E104" i="40"/>
  <c r="C7" i="40"/>
  <c r="C6" i="40"/>
  <c r="C6" i="8"/>
  <c r="C6" i="9"/>
  <c r="U14" i="40" l="1"/>
  <c r="V14" i="40"/>
  <c r="W14" i="40"/>
  <c r="F53" i="44"/>
  <c r="F57" i="44"/>
  <c r="G57" i="44" s="1"/>
  <c r="H57" i="44" s="1"/>
  <c r="I57" i="44" s="1"/>
  <c r="J57" i="44" s="1"/>
  <c r="K57" i="44" s="1"/>
  <c r="L57" i="44" s="1"/>
  <c r="M57" i="44" s="1"/>
  <c r="N57" i="44" s="1"/>
  <c r="O57" i="44" s="1"/>
  <c r="P57" i="44" s="1"/>
  <c r="Q57" i="44" s="1"/>
  <c r="R57" i="44" s="1"/>
  <c r="S57" i="44" s="1"/>
  <c r="T57" i="44" s="1"/>
  <c r="U57" i="44" s="1"/>
  <c r="V57" i="44" s="1"/>
  <c r="W57" i="44" s="1"/>
  <c r="X57" i="44" s="1"/>
  <c r="F40" i="44"/>
  <c r="G40" i="44" s="1"/>
  <c r="H40" i="44" s="1"/>
  <c r="I40" i="44" s="1"/>
  <c r="J40" i="44" s="1"/>
  <c r="K40" i="44" s="1"/>
  <c r="L40" i="44" s="1"/>
  <c r="M40" i="44" s="1"/>
  <c r="N40" i="44" s="1"/>
  <c r="O40" i="44" s="1"/>
  <c r="P40" i="44" s="1"/>
  <c r="Q40" i="44" s="1"/>
  <c r="R40" i="44" s="1"/>
  <c r="S40" i="44" s="1"/>
  <c r="T40" i="44" s="1"/>
  <c r="U40" i="44" s="1"/>
  <c r="V40" i="44" s="1"/>
  <c r="W40" i="44" s="1"/>
  <c r="X40" i="44" s="1"/>
  <c r="F4" i="44"/>
  <c r="G4" i="44" s="1"/>
  <c r="H4" i="44" s="1"/>
  <c r="I4" i="44" s="1"/>
  <c r="J4" i="44" s="1"/>
  <c r="K4" i="44" s="1"/>
  <c r="L4" i="44" s="1"/>
  <c r="M4" i="44" s="1"/>
  <c r="N4" i="44" s="1"/>
  <c r="O4" i="44" s="1"/>
  <c r="P4" i="44" s="1"/>
  <c r="Q4" i="44" s="1"/>
  <c r="R4" i="44" s="1"/>
  <c r="S4" i="44" s="1"/>
  <c r="T4" i="44" s="1"/>
  <c r="U4" i="44" s="1"/>
  <c r="V4" i="44" s="1"/>
  <c r="W4" i="44" s="1"/>
  <c r="X4" i="44" s="1"/>
  <c r="B59" i="44"/>
  <c r="B60" i="44" s="1"/>
  <c r="B61" i="44" s="1"/>
  <c r="B62" i="44" s="1"/>
  <c r="E4" i="44" l="1"/>
  <c r="E22" i="44"/>
  <c r="E26" i="44"/>
  <c r="E29" i="44"/>
  <c r="E35" i="44" l="1"/>
  <c r="D51" i="40"/>
  <c r="C47" i="40"/>
  <c r="B17" i="40"/>
  <c r="W63" i="40"/>
  <c r="V63" i="40"/>
  <c r="U63" i="40"/>
  <c r="T14" i="40"/>
  <c r="T63" i="40" s="1"/>
  <c r="S14" i="40"/>
  <c r="S63" i="40" s="1"/>
  <c r="R14" i="40"/>
  <c r="R63" i="40" s="1"/>
  <c r="Q14" i="40"/>
  <c r="Q63" i="40" s="1"/>
  <c r="P14" i="40"/>
  <c r="P63" i="40" s="1"/>
  <c r="O14" i="40"/>
  <c r="O63" i="40" s="1"/>
  <c r="N14" i="40"/>
  <c r="N63" i="40" s="1"/>
  <c r="M14" i="40"/>
  <c r="M63" i="40" s="1"/>
  <c r="L14" i="40"/>
  <c r="L63" i="40" s="1"/>
  <c r="K14" i="40"/>
  <c r="K63" i="40" s="1"/>
  <c r="J14" i="40"/>
  <c r="J63" i="40" s="1"/>
  <c r="I14" i="40"/>
  <c r="I63" i="40" s="1"/>
  <c r="H14" i="40"/>
  <c r="H63" i="40" s="1"/>
  <c r="C5" i="40"/>
  <c r="D65" i="40" s="1"/>
  <c r="B5" i="40"/>
  <c r="J64" i="40" l="1"/>
  <c r="E65" i="40"/>
  <c r="F65" i="40"/>
  <c r="E64" i="40" l="1"/>
  <c r="J65" i="40"/>
  <c r="I65" i="40"/>
  <c r="H65" i="40"/>
  <c r="G65" i="40"/>
  <c r="I64" i="40"/>
  <c r="H64" i="40"/>
  <c r="G64" i="40"/>
  <c r="F64" i="40"/>
  <c r="D64" i="40"/>
  <c r="I11" i="35" l="1"/>
  <c r="B5" i="21" l="1"/>
  <c r="B5" i="9"/>
  <c r="I99" i="9" l="1"/>
  <c r="J99" i="9"/>
  <c r="K99" i="9"/>
  <c r="L99" i="9"/>
  <c r="M99" i="9"/>
  <c r="N99" i="9"/>
  <c r="O99" i="9"/>
  <c r="P99" i="9"/>
  <c r="Q99" i="9"/>
  <c r="R99" i="9"/>
  <c r="S99" i="9"/>
  <c r="T99" i="9"/>
  <c r="U99" i="9"/>
  <c r="V99" i="9"/>
  <c r="W99" i="9"/>
  <c r="H99" i="9"/>
  <c r="H62" i="9"/>
  <c r="E99" i="9" l="1"/>
  <c r="F99" i="9"/>
  <c r="G99" i="9"/>
  <c r="L14" i="21"/>
  <c r="M9" i="44" s="1"/>
  <c r="B17" i="21" l="1"/>
  <c r="B16" i="9"/>
  <c r="C27" i="40" l="1"/>
  <c r="C19" i="40"/>
  <c r="Q72" i="40"/>
  <c r="F15" i="40"/>
  <c r="F73" i="40" s="1"/>
  <c r="C57" i="40"/>
  <c r="D42" i="40"/>
  <c r="P72" i="40"/>
  <c r="U15" i="40"/>
  <c r="U73" i="40" s="1"/>
  <c r="E15" i="40"/>
  <c r="E73" i="40" s="1"/>
  <c r="O72" i="40"/>
  <c r="D15" i="40"/>
  <c r="D73" i="40" s="1"/>
  <c r="N72" i="40"/>
  <c r="C15" i="40"/>
  <c r="M72" i="40"/>
  <c r="Q15" i="40"/>
  <c r="Q73" i="40" s="1"/>
  <c r="F14" i="40"/>
  <c r="F63" i="40" s="1"/>
  <c r="O15" i="40"/>
  <c r="O73" i="40" s="1"/>
  <c r="D14" i="40"/>
  <c r="D63" i="40" s="1"/>
  <c r="N15" i="40"/>
  <c r="N73" i="40" s="1"/>
  <c r="I19" i="40"/>
  <c r="C24" i="40"/>
  <c r="F36" i="40"/>
  <c r="U72" i="40"/>
  <c r="C12" i="40"/>
  <c r="E36" i="40"/>
  <c r="C42" i="40"/>
  <c r="T15" i="40"/>
  <c r="T73" i="40" s="1"/>
  <c r="G37" i="40"/>
  <c r="S15" i="40"/>
  <c r="S73" i="40" s="1"/>
  <c r="F37" i="40"/>
  <c r="R15" i="40"/>
  <c r="R73" i="40" s="1"/>
  <c r="G14" i="40"/>
  <c r="G63" i="40" s="1"/>
  <c r="E37" i="40"/>
  <c r="L72" i="40"/>
  <c r="J19" i="40"/>
  <c r="M15" i="40"/>
  <c r="M73" i="40" s="1"/>
  <c r="L15" i="40"/>
  <c r="L73" i="40" s="1"/>
  <c r="V72" i="40"/>
  <c r="D12" i="40"/>
  <c r="G19" i="40"/>
  <c r="J15" i="40"/>
  <c r="J73" i="40" s="1"/>
  <c r="F19" i="40"/>
  <c r="O41" i="9"/>
  <c r="D37" i="40"/>
  <c r="C23" i="40"/>
  <c r="K72" i="40"/>
  <c r="P15" i="40"/>
  <c r="P73" i="40" s="1"/>
  <c r="E14" i="40"/>
  <c r="E63" i="40" s="1"/>
  <c r="J72" i="40"/>
  <c r="I72" i="40"/>
  <c r="C14" i="40"/>
  <c r="H72" i="40"/>
  <c r="D38" i="40"/>
  <c r="W72" i="40"/>
  <c r="H19" i="40"/>
  <c r="K15" i="40"/>
  <c r="K73" i="40" s="1"/>
  <c r="O37" i="40"/>
  <c r="E72" i="40"/>
  <c r="C48" i="40"/>
  <c r="F42" i="40"/>
  <c r="D36" i="40"/>
  <c r="C36" i="40"/>
  <c r="E19" i="40"/>
  <c r="R72" i="40"/>
  <c r="D71" i="9"/>
  <c r="W15" i="40"/>
  <c r="W73" i="40" s="1"/>
  <c r="I15" i="40"/>
  <c r="I73" i="40" s="1"/>
  <c r="T72" i="40"/>
  <c r="S72" i="40"/>
  <c r="D19" i="40"/>
  <c r="H15" i="40"/>
  <c r="H73" i="40" s="1"/>
  <c r="D79" i="40"/>
  <c r="C3" i="40"/>
  <c r="E42" i="40"/>
  <c r="P51" i="44" l="1"/>
  <c r="F79" i="40"/>
  <c r="E79" i="40"/>
  <c r="V15" i="40"/>
  <c r="V73" i="40" s="1"/>
  <c r="V74" i="40" s="1"/>
  <c r="E12" i="40"/>
  <c r="E52" i="40" s="1"/>
  <c r="D50" i="40"/>
  <c r="E51" i="40" s="1"/>
  <c r="O42" i="21"/>
  <c r="O42" i="40"/>
  <c r="D79" i="21"/>
  <c r="D78" i="9"/>
  <c r="L74" i="40"/>
  <c r="F79" i="21"/>
  <c r="F78" i="9"/>
  <c r="E79" i="21"/>
  <c r="E78" i="9"/>
  <c r="W74" i="40"/>
  <c r="K19" i="40"/>
  <c r="K65" i="40"/>
  <c r="L19" i="40"/>
  <c r="L65" i="40"/>
  <c r="C33" i="40"/>
  <c r="M19" i="40"/>
  <c r="M65" i="40"/>
  <c r="C30" i="40"/>
  <c r="E74" i="40"/>
  <c r="R74" i="40"/>
  <c r="U74" i="40"/>
  <c r="H74" i="40"/>
  <c r="D72" i="40"/>
  <c r="D74" i="40" s="1"/>
  <c r="I74" i="40"/>
  <c r="S74" i="40"/>
  <c r="P19" i="40"/>
  <c r="P65" i="40"/>
  <c r="G14" i="9"/>
  <c r="G15" i="40"/>
  <c r="G73" i="40" s="1"/>
  <c r="G36" i="40"/>
  <c r="O38" i="40"/>
  <c r="M74" i="40"/>
  <c r="F12" i="21"/>
  <c r="F12" i="40"/>
  <c r="G12" i="40" s="1"/>
  <c r="H12" i="40" s="1"/>
  <c r="I12" i="40" s="1"/>
  <c r="J12" i="40" s="1"/>
  <c r="K12" i="40" s="1"/>
  <c r="L12" i="40" s="1"/>
  <c r="M12" i="40" s="1"/>
  <c r="R19" i="40"/>
  <c r="R65" i="40"/>
  <c r="W19" i="40"/>
  <c r="W65" i="40"/>
  <c r="F71" i="9"/>
  <c r="F72" i="40"/>
  <c r="K74" i="40"/>
  <c r="S19" i="40"/>
  <c r="S65" i="40"/>
  <c r="G23" i="9"/>
  <c r="H50" i="44" s="1"/>
  <c r="N19" i="40"/>
  <c r="N65" i="40"/>
  <c r="U19" i="40"/>
  <c r="U65" i="40"/>
  <c r="P74" i="40"/>
  <c r="V19" i="40"/>
  <c r="V65" i="40"/>
  <c r="E37" i="9"/>
  <c r="F47" i="44" s="1"/>
  <c r="E38" i="40"/>
  <c r="F37" i="9"/>
  <c r="G47" i="44" s="1"/>
  <c r="F38" i="40"/>
  <c r="Q19" i="40"/>
  <c r="Q65" i="40"/>
  <c r="G71" i="9"/>
  <c r="G72" i="40"/>
  <c r="G37" i="9"/>
  <c r="H47" i="44" s="1"/>
  <c r="G38" i="40"/>
  <c r="H37" i="40"/>
  <c r="I37" i="40" s="1"/>
  <c r="J37" i="40" s="1"/>
  <c r="K37" i="40" s="1"/>
  <c r="L37" i="40" s="1"/>
  <c r="M37" i="40" s="1"/>
  <c r="N37" i="40" s="1"/>
  <c r="D60" i="40"/>
  <c r="Q74" i="40"/>
  <c r="J74" i="40"/>
  <c r="T19" i="40"/>
  <c r="T65" i="40"/>
  <c r="G42" i="40"/>
  <c r="O19" i="40"/>
  <c r="O65" i="40"/>
  <c r="T74" i="40"/>
  <c r="D27" i="40"/>
  <c r="E27" i="40" s="1"/>
  <c r="F27" i="40" s="1"/>
  <c r="G27" i="40" s="1"/>
  <c r="H27" i="40" s="1"/>
  <c r="I27" i="40" s="1"/>
  <c r="J27" i="40" s="1"/>
  <c r="K27" i="40" s="1"/>
  <c r="L27" i="40" s="1"/>
  <c r="M27" i="40" s="1"/>
  <c r="N27" i="40" s="1"/>
  <c r="O27" i="40" s="1"/>
  <c r="P27" i="40" s="1"/>
  <c r="Q27" i="40" s="1"/>
  <c r="R27" i="40" s="1"/>
  <c r="S27" i="40" s="1"/>
  <c r="T27" i="40" s="1"/>
  <c r="U27" i="40" s="1"/>
  <c r="V27" i="40" s="1"/>
  <c r="W27" i="40" s="1"/>
  <c r="C92" i="40"/>
  <c r="D70" i="40"/>
  <c r="O74" i="40"/>
  <c r="N74" i="40"/>
  <c r="D52" i="40"/>
  <c r="C58" i="8"/>
  <c r="V14" i="9"/>
  <c r="V15" i="21"/>
  <c r="L14" i="9"/>
  <c r="L15" i="21"/>
  <c r="W14" i="9"/>
  <c r="W15" i="21"/>
  <c r="M14" i="9"/>
  <c r="M15" i="21"/>
  <c r="N14" i="9"/>
  <c r="N15" i="21"/>
  <c r="Q14" i="9"/>
  <c r="Q15" i="21"/>
  <c r="T14" i="9"/>
  <c r="T15" i="21"/>
  <c r="K14" i="9"/>
  <c r="K15" i="21"/>
  <c r="J14" i="9"/>
  <c r="J15" i="21"/>
  <c r="S14" i="9"/>
  <c r="S15" i="21"/>
  <c r="U14" i="9"/>
  <c r="U15" i="21"/>
  <c r="R14" i="9"/>
  <c r="R15" i="21"/>
  <c r="H14" i="9"/>
  <c r="H72" i="9" s="1"/>
  <c r="H15" i="21"/>
  <c r="P14" i="9"/>
  <c r="P15" i="21"/>
  <c r="I14" i="9"/>
  <c r="I15" i="21"/>
  <c r="O14" i="9"/>
  <c r="O15" i="21"/>
  <c r="F37" i="21"/>
  <c r="G11" i="44" s="1"/>
  <c r="F36" i="9"/>
  <c r="G46" i="44" s="1"/>
  <c r="G38" i="21"/>
  <c r="H12" i="44" s="1"/>
  <c r="E37" i="21"/>
  <c r="F11" i="44" s="1"/>
  <c r="E36" i="9"/>
  <c r="F46" i="44" s="1"/>
  <c r="E38" i="21"/>
  <c r="F12" i="44" s="1"/>
  <c r="D38" i="21"/>
  <c r="F38" i="21"/>
  <c r="G12" i="44" s="1"/>
  <c r="G36" i="9"/>
  <c r="H46" i="44" s="1"/>
  <c r="G37" i="21"/>
  <c r="H11" i="44" s="1"/>
  <c r="D37" i="21"/>
  <c r="U41" i="9"/>
  <c r="V41" i="9"/>
  <c r="W41" i="9"/>
  <c r="G35" i="9"/>
  <c r="H48" i="44" s="1"/>
  <c r="Q41" i="9"/>
  <c r="R41" i="9"/>
  <c r="S41" i="9"/>
  <c r="T41" i="9"/>
  <c r="P41" i="9"/>
  <c r="O38" i="21"/>
  <c r="P12" i="44" s="1"/>
  <c r="O37" i="9"/>
  <c r="P47" i="44" s="1"/>
  <c r="G42" i="21"/>
  <c r="G41" i="9"/>
  <c r="G15" i="21"/>
  <c r="O37" i="21"/>
  <c r="P11" i="44" s="1"/>
  <c r="O36" i="9"/>
  <c r="P46" i="44" s="1"/>
  <c r="G14" i="21"/>
  <c r="H9" i="44" s="1"/>
  <c r="G13" i="9"/>
  <c r="G36" i="21"/>
  <c r="C5" i="9"/>
  <c r="F74" i="40" l="1"/>
  <c r="H13" i="44"/>
  <c r="E60" i="40"/>
  <c r="E50" i="40"/>
  <c r="F50" i="40" s="1"/>
  <c r="G7" i="44"/>
  <c r="P17" i="44"/>
  <c r="H17" i="44"/>
  <c r="H41" i="9"/>
  <c r="H51" i="44"/>
  <c r="P42" i="40"/>
  <c r="Q51" i="44"/>
  <c r="T42" i="40"/>
  <c r="U51" i="44"/>
  <c r="S42" i="40"/>
  <c r="T51" i="44"/>
  <c r="R42" i="40"/>
  <c r="S51" i="44"/>
  <c r="Q42" i="40"/>
  <c r="R51" i="44"/>
  <c r="W42" i="40"/>
  <c r="X51" i="44"/>
  <c r="V42" i="40"/>
  <c r="W51" i="44"/>
  <c r="U42" i="40"/>
  <c r="V51" i="44"/>
  <c r="H64" i="9"/>
  <c r="H38" i="40"/>
  <c r="I38" i="40" s="1"/>
  <c r="J38" i="40" s="1"/>
  <c r="K38" i="40" s="1"/>
  <c r="L38" i="40" s="1"/>
  <c r="M38" i="40" s="1"/>
  <c r="N38" i="40" s="1"/>
  <c r="F60" i="40"/>
  <c r="F52" i="40"/>
  <c r="G74" i="40"/>
  <c r="H37" i="9"/>
  <c r="G98" i="9"/>
  <c r="H37" i="21"/>
  <c r="F63" i="9"/>
  <c r="H36" i="9"/>
  <c r="H38" i="21"/>
  <c r="F64" i="9"/>
  <c r="V37" i="9"/>
  <c r="W37" i="9"/>
  <c r="U37" i="9"/>
  <c r="W36" i="9"/>
  <c r="U36" i="9"/>
  <c r="V36" i="9"/>
  <c r="S37" i="9"/>
  <c r="T37" i="9"/>
  <c r="Q37" i="9"/>
  <c r="P37" i="9"/>
  <c r="R37" i="9"/>
  <c r="Q36" i="9"/>
  <c r="R46" i="44" s="1"/>
  <c r="S36" i="9"/>
  <c r="T36" i="9"/>
  <c r="P36" i="9"/>
  <c r="R36" i="9"/>
  <c r="I41" i="9"/>
  <c r="N41" i="9"/>
  <c r="J41" i="9"/>
  <c r="K41" i="9"/>
  <c r="L41" i="9"/>
  <c r="M41" i="9"/>
  <c r="G32" i="9"/>
  <c r="H52" i="44" s="1"/>
  <c r="D23" i="9"/>
  <c r="D24" i="40" s="1"/>
  <c r="E23" i="9"/>
  <c r="F23" i="9"/>
  <c r="C3" i="9"/>
  <c r="H14" i="21"/>
  <c r="I9" i="44" s="1"/>
  <c r="I14" i="21"/>
  <c r="J9" i="44" s="1"/>
  <c r="J14" i="21"/>
  <c r="K9" i="44" s="1"/>
  <c r="K14" i="21"/>
  <c r="L9" i="44" s="1"/>
  <c r="M14" i="21"/>
  <c r="N9" i="44" s="1"/>
  <c r="N14" i="21"/>
  <c r="O9" i="44" s="1"/>
  <c r="O14" i="21"/>
  <c r="P9" i="44" s="1"/>
  <c r="P14" i="21"/>
  <c r="Q9" i="44" s="1"/>
  <c r="Q14" i="21"/>
  <c r="R9" i="44" s="1"/>
  <c r="R14" i="21"/>
  <c r="S9" i="44" s="1"/>
  <c r="S14" i="21"/>
  <c r="T9" i="44" s="1"/>
  <c r="T14" i="21"/>
  <c r="U9" i="44" s="1"/>
  <c r="U14" i="21"/>
  <c r="V9" i="44" s="1"/>
  <c r="V14" i="21"/>
  <c r="W9" i="44" s="1"/>
  <c r="W14" i="21"/>
  <c r="X9" i="44" s="1"/>
  <c r="O51" i="44" l="1"/>
  <c r="F51" i="40"/>
  <c r="N38" i="9"/>
  <c r="C43" i="40"/>
  <c r="D39" i="40"/>
  <c r="C39" i="40"/>
  <c r="G43" i="40"/>
  <c r="E43" i="40"/>
  <c r="D43" i="40"/>
  <c r="F43" i="40"/>
  <c r="R37" i="40"/>
  <c r="S46" i="44"/>
  <c r="U38" i="40"/>
  <c r="V47" i="44"/>
  <c r="P37" i="40"/>
  <c r="Q46" i="44"/>
  <c r="W38" i="40"/>
  <c r="X47" i="44"/>
  <c r="I37" i="9"/>
  <c r="I47" i="44"/>
  <c r="U37" i="40"/>
  <c r="V46" i="44"/>
  <c r="S37" i="40"/>
  <c r="T46" i="44"/>
  <c r="T37" i="40"/>
  <c r="U46" i="44"/>
  <c r="R38" i="40"/>
  <c r="S47" i="44"/>
  <c r="I36" i="9"/>
  <c r="I46" i="44"/>
  <c r="V38" i="40"/>
  <c r="W47" i="44"/>
  <c r="P38" i="40"/>
  <c r="Q47" i="44"/>
  <c r="Q38" i="40"/>
  <c r="R47" i="44"/>
  <c r="W37" i="40"/>
  <c r="X46" i="44"/>
  <c r="I42" i="40"/>
  <c r="J51" i="44"/>
  <c r="F24" i="40"/>
  <c r="F33" i="40" s="1"/>
  <c r="G50" i="44"/>
  <c r="T38" i="40"/>
  <c r="U47" i="44"/>
  <c r="M42" i="40"/>
  <c r="N51" i="44"/>
  <c r="S38" i="40"/>
  <c r="T47" i="44"/>
  <c r="L42" i="40"/>
  <c r="M51" i="44"/>
  <c r="K42" i="40"/>
  <c r="L51" i="44"/>
  <c r="E24" i="40"/>
  <c r="E33" i="40" s="1"/>
  <c r="F50" i="44"/>
  <c r="J42" i="40"/>
  <c r="K51" i="44"/>
  <c r="V37" i="40"/>
  <c r="W46" i="44"/>
  <c r="H42" i="40"/>
  <c r="I51" i="44"/>
  <c r="I38" i="21"/>
  <c r="I12" i="44"/>
  <c r="I37" i="21"/>
  <c r="I11" i="44"/>
  <c r="G51" i="40"/>
  <c r="D33" i="40"/>
  <c r="D68" i="40" s="1"/>
  <c r="N42" i="40"/>
  <c r="Q37" i="21"/>
  <c r="R11" i="44" s="1"/>
  <c r="Q37" i="40"/>
  <c r="G96" i="9"/>
  <c r="V38" i="9"/>
  <c r="V39" i="40" s="1"/>
  <c r="W38" i="9"/>
  <c r="W39" i="40" s="1"/>
  <c r="U38" i="9"/>
  <c r="O38" i="9"/>
  <c r="O39" i="40" s="1"/>
  <c r="P38" i="9"/>
  <c r="P39" i="40" s="1"/>
  <c r="P37" i="21"/>
  <c r="Q11" i="44" s="1"/>
  <c r="H42" i="21"/>
  <c r="N42" i="21"/>
  <c r="E24" i="21"/>
  <c r="F16" i="44" s="1"/>
  <c r="F24" i="21"/>
  <c r="D24" i="21"/>
  <c r="G79" i="40" l="1"/>
  <c r="G16" i="44"/>
  <c r="G38" i="9"/>
  <c r="G39" i="40" s="1"/>
  <c r="M38" i="9"/>
  <c r="M39" i="40" s="1"/>
  <c r="L38" i="9"/>
  <c r="L39" i="40" s="1"/>
  <c r="K38" i="9"/>
  <c r="K39" i="40" s="1"/>
  <c r="J38" i="9"/>
  <c r="I38" i="9"/>
  <c r="I39" i="40" s="1"/>
  <c r="H38" i="9"/>
  <c r="H39" i="40" s="1"/>
  <c r="I17" i="44"/>
  <c r="J37" i="9"/>
  <c r="J47" i="44"/>
  <c r="J36" i="9"/>
  <c r="J46" i="44"/>
  <c r="O17" i="44"/>
  <c r="J37" i="21"/>
  <c r="J11" i="44"/>
  <c r="J38" i="21"/>
  <c r="J12" i="44"/>
  <c r="G101" i="40"/>
  <c r="G101" i="9"/>
  <c r="D69" i="40"/>
  <c r="H43" i="21"/>
  <c r="H43" i="40"/>
  <c r="N39" i="40"/>
  <c r="E39" i="40"/>
  <c r="U39" i="21"/>
  <c r="U39" i="40"/>
  <c r="U43" i="21"/>
  <c r="U43" i="40"/>
  <c r="I43" i="21"/>
  <c r="I43" i="40"/>
  <c r="R43" i="21"/>
  <c r="R43" i="40"/>
  <c r="Q43" i="21"/>
  <c r="Q43" i="40"/>
  <c r="V43" i="21"/>
  <c r="V43" i="40"/>
  <c r="K43" i="21"/>
  <c r="K43" i="40"/>
  <c r="S43" i="21"/>
  <c r="S43" i="40"/>
  <c r="L43" i="21"/>
  <c r="L43" i="40"/>
  <c r="J43" i="21"/>
  <c r="J43" i="40"/>
  <c r="M43" i="21"/>
  <c r="M43" i="40"/>
  <c r="N43" i="21"/>
  <c r="N43" i="40"/>
  <c r="T43" i="21"/>
  <c r="T43" i="40"/>
  <c r="D78" i="40"/>
  <c r="W43" i="21"/>
  <c r="W43" i="40"/>
  <c r="O43" i="21"/>
  <c r="O43" i="40"/>
  <c r="P43" i="21"/>
  <c r="P43" i="40"/>
  <c r="F39" i="40"/>
  <c r="F43" i="21"/>
  <c r="G43" i="21"/>
  <c r="C39" i="21"/>
  <c r="E43" i="21"/>
  <c r="D39" i="21"/>
  <c r="C43" i="21"/>
  <c r="D43" i="21"/>
  <c r="G50" i="40" l="1"/>
  <c r="K36" i="9"/>
  <c r="K46" i="44"/>
  <c r="K37" i="9"/>
  <c r="K47" i="44"/>
  <c r="H79" i="40"/>
  <c r="K38" i="21"/>
  <c r="K12" i="44"/>
  <c r="K37" i="21"/>
  <c r="K11" i="44"/>
  <c r="G60" i="40"/>
  <c r="G25" i="35"/>
  <c r="G52" i="40"/>
  <c r="G13" i="40"/>
  <c r="J39" i="21"/>
  <c r="J39" i="40"/>
  <c r="H52" i="40" l="1"/>
  <c r="I79" i="40"/>
  <c r="H60" i="40"/>
  <c r="H25" i="35"/>
  <c r="H13" i="40"/>
  <c r="H50" i="40"/>
  <c r="L37" i="9"/>
  <c r="L47" i="44"/>
  <c r="L36" i="9"/>
  <c r="L46" i="44"/>
  <c r="L37" i="21"/>
  <c r="L11" i="44"/>
  <c r="L38" i="21"/>
  <c r="L12" i="44"/>
  <c r="S38" i="9"/>
  <c r="S39" i="40" s="1"/>
  <c r="Q38" i="9"/>
  <c r="Q39" i="40" s="1"/>
  <c r="R38" i="9"/>
  <c r="R39" i="40" s="1"/>
  <c r="T38" i="9"/>
  <c r="C36" i="21"/>
  <c r="D35" i="9"/>
  <c r="D36" i="21"/>
  <c r="E36" i="21"/>
  <c r="F13" i="44" s="1"/>
  <c r="F36" i="21"/>
  <c r="C12" i="21"/>
  <c r="C12" i="9"/>
  <c r="D12" i="21"/>
  <c r="D12" i="9"/>
  <c r="E12" i="21"/>
  <c r="E12" i="9"/>
  <c r="F12" i="9"/>
  <c r="G13" i="44" l="1"/>
  <c r="I52" i="40"/>
  <c r="I50" i="40"/>
  <c r="I13" i="40"/>
  <c r="I60" i="40"/>
  <c r="J79" i="40"/>
  <c r="D81" i="40" s="1"/>
  <c r="I25" i="35"/>
  <c r="F43" i="44"/>
  <c r="F7" i="44"/>
  <c r="D49" i="9"/>
  <c r="E49" i="9" s="1"/>
  <c r="F49" i="9" s="1"/>
  <c r="G43" i="44"/>
  <c r="M36" i="9"/>
  <c r="M46" i="44"/>
  <c r="M37" i="9"/>
  <c r="M47" i="44"/>
  <c r="M38" i="21"/>
  <c r="M12" i="44"/>
  <c r="M37" i="21"/>
  <c r="M11" i="44"/>
  <c r="T39" i="21"/>
  <c r="T39" i="40"/>
  <c r="D96" i="9"/>
  <c r="G12" i="9"/>
  <c r="G78" i="9" s="1"/>
  <c r="C35" i="9"/>
  <c r="C96" i="9" s="1"/>
  <c r="J27" i="35" l="1"/>
  <c r="J13" i="40"/>
  <c r="J50" i="40"/>
  <c r="J60" i="40"/>
  <c r="K79" i="40"/>
  <c r="J52" i="40"/>
  <c r="J25" i="35"/>
  <c r="H43" i="44"/>
  <c r="G49" i="9"/>
  <c r="N37" i="9"/>
  <c r="O47" i="44" s="1"/>
  <c r="N47" i="44"/>
  <c r="N36" i="9"/>
  <c r="O46" i="44" s="1"/>
  <c r="N46" i="44"/>
  <c r="N37" i="21"/>
  <c r="N11" i="44"/>
  <c r="N38" i="21"/>
  <c r="N12" i="44"/>
  <c r="C101" i="40"/>
  <c r="C106" i="40" s="1"/>
  <c r="D101" i="40"/>
  <c r="D106" i="40" s="1"/>
  <c r="H12" i="9"/>
  <c r="H78" i="9" s="1"/>
  <c r="K13" i="40" l="1"/>
  <c r="L79" i="40"/>
  <c r="K52" i="40"/>
  <c r="K50" i="40"/>
  <c r="K25" i="35"/>
  <c r="K60" i="40"/>
  <c r="H49" i="9"/>
  <c r="H59" i="9"/>
  <c r="I43" i="44"/>
  <c r="O12" i="44"/>
  <c r="O11" i="44"/>
  <c r="I12" i="9"/>
  <c r="I78" i="9" s="1"/>
  <c r="C47" i="21"/>
  <c r="C46" i="9"/>
  <c r="L13" i="40" l="1"/>
  <c r="L50" i="40"/>
  <c r="L52" i="40"/>
  <c r="L60" i="40"/>
  <c r="L25" i="35"/>
  <c r="M79" i="40"/>
  <c r="I49" i="9"/>
  <c r="J12" i="9"/>
  <c r="J78" i="9" s="1"/>
  <c r="J43" i="44"/>
  <c r="F51" i="9"/>
  <c r="G51" i="9"/>
  <c r="H51" i="9"/>
  <c r="D50" i="9"/>
  <c r="B18" i="9"/>
  <c r="M13" i="40" l="1"/>
  <c r="M25" i="35"/>
  <c r="M60" i="40"/>
  <c r="M27" i="35"/>
  <c r="N12" i="40"/>
  <c r="N79" i="40" s="1"/>
  <c r="J49" i="9"/>
  <c r="M50" i="40"/>
  <c r="M52" i="40"/>
  <c r="K12" i="9"/>
  <c r="K78" i="9" s="1"/>
  <c r="K43" i="44"/>
  <c r="E63" i="9"/>
  <c r="D64" i="9"/>
  <c r="D63" i="9"/>
  <c r="E64" i="9"/>
  <c r="N13" i="40" l="1"/>
  <c r="N50" i="40"/>
  <c r="N60" i="40"/>
  <c r="K49" i="9"/>
  <c r="N52" i="40"/>
  <c r="O12" i="40"/>
  <c r="O79" i="40" s="1"/>
  <c r="L12" i="9"/>
  <c r="L78" i="9" s="1"/>
  <c r="L43" i="44"/>
  <c r="D51" i="21"/>
  <c r="C5" i="21"/>
  <c r="C6" i="21" l="1"/>
  <c r="C7" i="21"/>
  <c r="L49" i="9"/>
  <c r="O50" i="40"/>
  <c r="P51" i="40" s="1"/>
  <c r="O52" i="40"/>
  <c r="O13" i="40"/>
  <c r="O60" i="40"/>
  <c r="P12" i="40"/>
  <c r="P79" i="40" s="1"/>
  <c r="D50" i="21"/>
  <c r="E50" i="21" s="1"/>
  <c r="F50" i="21" s="1"/>
  <c r="M12" i="9"/>
  <c r="M43" i="44"/>
  <c r="D65" i="21"/>
  <c r="F65" i="21"/>
  <c r="E65" i="21"/>
  <c r="M49" i="9" l="1"/>
  <c r="M78" i="9"/>
  <c r="P52" i="40"/>
  <c r="P60" i="40"/>
  <c r="P13" i="40"/>
  <c r="Q12" i="40"/>
  <c r="Q79" i="40" s="1"/>
  <c r="P50" i="40"/>
  <c r="N12" i="9"/>
  <c r="N43" i="44"/>
  <c r="I64" i="21"/>
  <c r="G64" i="21"/>
  <c r="H64" i="21"/>
  <c r="J64" i="21"/>
  <c r="F64" i="21"/>
  <c r="D64" i="21"/>
  <c r="N49" i="9" l="1"/>
  <c r="N78" i="9"/>
  <c r="Q13" i="40"/>
  <c r="R12" i="40"/>
  <c r="Q60" i="40"/>
  <c r="Q52" i="40"/>
  <c r="Q51" i="40"/>
  <c r="Q50" i="40"/>
  <c r="O12" i="9"/>
  <c r="O43" i="44"/>
  <c r="C48" i="21"/>
  <c r="C47" i="9"/>
  <c r="E35" i="9"/>
  <c r="F48" i="44" s="1"/>
  <c r="F35" i="9"/>
  <c r="G48" i="44" s="1"/>
  <c r="C3" i="21"/>
  <c r="R60" i="40" l="1"/>
  <c r="R79" i="40"/>
  <c r="O49" i="9"/>
  <c r="O78" i="9"/>
  <c r="R52" i="40"/>
  <c r="S12" i="40"/>
  <c r="R13" i="40"/>
  <c r="R50" i="40"/>
  <c r="R51" i="40"/>
  <c r="P12" i="9"/>
  <c r="P43" i="44"/>
  <c r="F98" i="9"/>
  <c r="E98" i="9"/>
  <c r="E96" i="9" s="1"/>
  <c r="C99" i="21"/>
  <c r="D99" i="21"/>
  <c r="C22" i="9"/>
  <c r="D22" i="9" s="1"/>
  <c r="D23" i="40" s="1"/>
  <c r="D30" i="40" s="1"/>
  <c r="D62" i="40" s="1"/>
  <c r="C23" i="21"/>
  <c r="C27" i="21"/>
  <c r="D27" i="21" s="1"/>
  <c r="E27" i="21" s="1"/>
  <c r="C26" i="9"/>
  <c r="G59" i="9"/>
  <c r="O51" i="9"/>
  <c r="J59" i="9"/>
  <c r="I59" i="9"/>
  <c r="L51" i="9"/>
  <c r="L59" i="9"/>
  <c r="D59" i="9"/>
  <c r="D51" i="9"/>
  <c r="E59" i="9"/>
  <c r="N59" i="9"/>
  <c r="F59" i="9"/>
  <c r="E51" i="9"/>
  <c r="M59" i="9"/>
  <c r="J51" i="9"/>
  <c r="K51" i="9"/>
  <c r="M51" i="9"/>
  <c r="O59" i="9"/>
  <c r="K59" i="9"/>
  <c r="I51" i="9"/>
  <c r="N51" i="9"/>
  <c r="C23" i="9"/>
  <c r="C24" i="21"/>
  <c r="S79" i="40" l="1"/>
  <c r="P49" i="9"/>
  <c r="P78" i="9"/>
  <c r="S52" i="40"/>
  <c r="S13" i="40"/>
  <c r="T12" i="40"/>
  <c r="S60" i="40"/>
  <c r="P51" i="9"/>
  <c r="P59" i="9"/>
  <c r="S50" i="40"/>
  <c r="S51" i="40"/>
  <c r="Q12" i="9"/>
  <c r="Q43" i="44"/>
  <c r="F27" i="21"/>
  <c r="F15" i="44"/>
  <c r="D59" i="40"/>
  <c r="D77" i="40" s="1"/>
  <c r="E101" i="40"/>
  <c r="E106" i="40" s="1"/>
  <c r="F96" i="9"/>
  <c r="D23" i="21"/>
  <c r="E22" i="9"/>
  <c r="E23" i="40" s="1"/>
  <c r="E30" i="40" s="1"/>
  <c r="E62" i="40" s="1"/>
  <c r="E59" i="40" s="1"/>
  <c r="D26" i="9"/>
  <c r="E26" i="9" s="1"/>
  <c r="M39" i="21"/>
  <c r="C29" i="9"/>
  <c r="F52" i="21"/>
  <c r="C30" i="21"/>
  <c r="F50" i="9"/>
  <c r="E50" i="9"/>
  <c r="G50" i="9"/>
  <c r="F60" i="21"/>
  <c r="E60" i="21"/>
  <c r="E52" i="21"/>
  <c r="D52" i="21"/>
  <c r="D60" i="21"/>
  <c r="U12" i="40" l="1"/>
  <c r="U60" i="40" s="1"/>
  <c r="T79" i="40"/>
  <c r="Q49" i="9"/>
  <c r="Q78" i="9"/>
  <c r="T60" i="40"/>
  <c r="T13" i="40"/>
  <c r="T52" i="40"/>
  <c r="T50" i="40"/>
  <c r="T51" i="40"/>
  <c r="F26" i="9"/>
  <c r="F49" i="44"/>
  <c r="R12" i="9"/>
  <c r="R43" i="44"/>
  <c r="Q51" i="9"/>
  <c r="Q59" i="9"/>
  <c r="G27" i="21"/>
  <c r="G15" i="44"/>
  <c r="F101" i="40"/>
  <c r="F106" i="40" s="1"/>
  <c r="F22" i="9"/>
  <c r="F23" i="40" s="1"/>
  <c r="E23" i="21"/>
  <c r="H39" i="21"/>
  <c r="V39" i="21"/>
  <c r="S39" i="21"/>
  <c r="L39" i="21"/>
  <c r="W39" i="21"/>
  <c r="E39" i="21"/>
  <c r="R39" i="21"/>
  <c r="Q39" i="21"/>
  <c r="P39" i="21"/>
  <c r="N39" i="21"/>
  <c r="G39" i="21"/>
  <c r="F39" i="21"/>
  <c r="K39" i="21"/>
  <c r="I39" i="21"/>
  <c r="O39" i="21"/>
  <c r="H65" i="21"/>
  <c r="I65" i="21"/>
  <c r="G65" i="21"/>
  <c r="E64" i="21"/>
  <c r="J65" i="21"/>
  <c r="E29" i="9"/>
  <c r="E61" i="9" s="1"/>
  <c r="F44" i="44" s="1"/>
  <c r="H50" i="9"/>
  <c r="D29" i="9"/>
  <c r="D61" i="9" s="1"/>
  <c r="F51" i="21"/>
  <c r="E51" i="21"/>
  <c r="V12" i="40" l="1"/>
  <c r="V79" i="40" s="1"/>
  <c r="U13" i="40"/>
  <c r="U79" i="40"/>
  <c r="U52" i="40"/>
  <c r="R49" i="9"/>
  <c r="R78" i="9"/>
  <c r="U51" i="40"/>
  <c r="U50" i="40"/>
  <c r="S12" i="9"/>
  <c r="S43" i="44"/>
  <c r="R59" i="9"/>
  <c r="R51" i="9"/>
  <c r="G26" i="9"/>
  <c r="G49" i="44"/>
  <c r="H27" i="21"/>
  <c r="H15" i="44"/>
  <c r="F30" i="40"/>
  <c r="F62" i="40" s="1"/>
  <c r="G23" i="40"/>
  <c r="G22" i="9"/>
  <c r="F23" i="21"/>
  <c r="I50" i="9"/>
  <c r="F29" i="9"/>
  <c r="F61" i="9" s="1"/>
  <c r="G44" i="44" s="1"/>
  <c r="E30" i="21"/>
  <c r="E62" i="21" s="1"/>
  <c r="F8" i="44" s="1"/>
  <c r="D30" i="21"/>
  <c r="D62" i="21" s="1"/>
  <c r="G51" i="21"/>
  <c r="V60" i="40" l="1"/>
  <c r="V13" i="40"/>
  <c r="V52" i="40"/>
  <c r="W12" i="40"/>
  <c r="W79" i="40" s="1"/>
  <c r="S49" i="9"/>
  <c r="S78" i="9"/>
  <c r="V50" i="40"/>
  <c r="V51" i="40"/>
  <c r="H26" i="9"/>
  <c r="H49" i="44"/>
  <c r="T12" i="9"/>
  <c r="T43" i="44"/>
  <c r="S59" i="9"/>
  <c r="S51" i="9"/>
  <c r="I27" i="21"/>
  <c r="I15" i="44"/>
  <c r="F59" i="40"/>
  <c r="G24" i="40"/>
  <c r="G30" i="40"/>
  <c r="H22" i="9"/>
  <c r="H23" i="9" s="1"/>
  <c r="G29" i="9"/>
  <c r="G61" i="9" s="1"/>
  <c r="H44" i="44" s="1"/>
  <c r="J50" i="9"/>
  <c r="F30" i="21"/>
  <c r="F62" i="21" s="1"/>
  <c r="G8" i="44" s="1"/>
  <c r="W13" i="40" l="1"/>
  <c r="W60" i="40"/>
  <c r="W52" i="40"/>
  <c r="T49" i="9"/>
  <c r="T78" i="9"/>
  <c r="W50" i="40"/>
  <c r="W51" i="40"/>
  <c r="U12" i="9"/>
  <c r="U43" i="44"/>
  <c r="T51" i="9"/>
  <c r="T59" i="9"/>
  <c r="H32" i="9"/>
  <c r="I52" i="44" s="1"/>
  <c r="I50" i="44"/>
  <c r="I26" i="9"/>
  <c r="I49" i="44"/>
  <c r="J27" i="21"/>
  <c r="J15" i="44"/>
  <c r="G106" i="40"/>
  <c r="G62" i="40"/>
  <c r="H51" i="40"/>
  <c r="H23" i="40" s="1"/>
  <c r="G33" i="40"/>
  <c r="H29" i="9"/>
  <c r="H61" i="9" s="1"/>
  <c r="I44" i="44" s="1"/>
  <c r="I22" i="9"/>
  <c r="I23" i="9" s="1"/>
  <c r="J50" i="44" s="1"/>
  <c r="K50" i="9"/>
  <c r="U49" i="9" l="1"/>
  <c r="U78" i="9"/>
  <c r="V43" i="44"/>
  <c r="V12" i="9"/>
  <c r="U59" i="9"/>
  <c r="U51" i="9"/>
  <c r="J49" i="44"/>
  <c r="J26" i="9"/>
  <c r="K27" i="21"/>
  <c r="K15" i="44"/>
  <c r="G59" i="40"/>
  <c r="H24" i="40"/>
  <c r="H30" i="40"/>
  <c r="J22" i="9"/>
  <c r="K22" i="9" s="1"/>
  <c r="I29" i="9"/>
  <c r="I61" i="9" s="1"/>
  <c r="J44" i="44" s="1"/>
  <c r="L50" i="9"/>
  <c r="V49" i="9" l="1"/>
  <c r="V78" i="9"/>
  <c r="H33" i="40"/>
  <c r="K26" i="9"/>
  <c r="K29" i="9" s="1"/>
  <c r="K61" i="9" s="1"/>
  <c r="L44" i="44" s="1"/>
  <c r="K49" i="44"/>
  <c r="V51" i="9"/>
  <c r="W43" i="44"/>
  <c r="W12" i="9"/>
  <c r="V59" i="9"/>
  <c r="L27" i="21"/>
  <c r="L15" i="44"/>
  <c r="H62" i="40"/>
  <c r="I51" i="40"/>
  <c r="I23" i="40" s="1"/>
  <c r="J23" i="9"/>
  <c r="K50" i="44" s="1"/>
  <c r="J29" i="9"/>
  <c r="J61" i="9" s="1"/>
  <c r="K44" i="44" s="1"/>
  <c r="K23" i="9"/>
  <c r="L50" i="44" s="1"/>
  <c r="M50" i="9"/>
  <c r="L22" i="9"/>
  <c r="W49" i="9" l="1"/>
  <c r="W78" i="9"/>
  <c r="X43" i="44"/>
  <c r="W51" i="9"/>
  <c r="W59" i="9"/>
  <c r="L26" i="9"/>
  <c r="L29" i="9" s="1"/>
  <c r="L61" i="9" s="1"/>
  <c r="M44" i="44" s="1"/>
  <c r="L49" i="44"/>
  <c r="M27" i="21"/>
  <c r="M15" i="44"/>
  <c r="H59" i="40"/>
  <c r="I24" i="40"/>
  <c r="I30" i="40"/>
  <c r="M22" i="9"/>
  <c r="N50" i="9"/>
  <c r="L23" i="9"/>
  <c r="M50" i="44" s="1"/>
  <c r="I33" i="40" l="1"/>
  <c r="M26" i="9"/>
  <c r="M29" i="9" s="1"/>
  <c r="M61" i="9" s="1"/>
  <c r="N44" i="44" s="1"/>
  <c r="M49" i="44"/>
  <c r="N27" i="21"/>
  <c r="N15" i="44"/>
  <c r="I62" i="40"/>
  <c r="I59" i="40" s="1"/>
  <c r="J51" i="40"/>
  <c r="J23" i="40" s="1"/>
  <c r="O50" i="9"/>
  <c r="N22" i="9"/>
  <c r="M23" i="9"/>
  <c r="N50" i="44" s="1"/>
  <c r="N26" i="9" l="1"/>
  <c r="N29" i="9" s="1"/>
  <c r="N61" i="9" s="1"/>
  <c r="O44" i="44" s="1"/>
  <c r="N49" i="44"/>
  <c r="O27" i="21"/>
  <c r="O15" i="44"/>
  <c r="J30" i="40"/>
  <c r="J24" i="40"/>
  <c r="O22" i="9"/>
  <c r="P50" i="9"/>
  <c r="N23" i="9"/>
  <c r="O50" i="44" s="1"/>
  <c r="J33" i="40" l="1"/>
  <c r="O26" i="9"/>
  <c r="O49" i="44"/>
  <c r="P27" i="21"/>
  <c r="P15" i="44"/>
  <c r="J62" i="40"/>
  <c r="J59" i="40" s="1"/>
  <c r="K51" i="40"/>
  <c r="K23" i="40" s="1"/>
  <c r="P22" i="9"/>
  <c r="Q50" i="9"/>
  <c r="O23" i="9"/>
  <c r="P50" i="44" s="1"/>
  <c r="O29" i="9"/>
  <c r="O61" i="9" s="1"/>
  <c r="P44" i="44" s="1"/>
  <c r="P26" i="9" l="1"/>
  <c r="P49" i="44"/>
  <c r="Q27" i="21"/>
  <c r="Q15" i="44"/>
  <c r="K30" i="40"/>
  <c r="K24" i="40"/>
  <c r="R50" i="9"/>
  <c r="Q22" i="9"/>
  <c r="P29" i="9"/>
  <c r="P61" i="9" s="1"/>
  <c r="Q44" i="44" s="1"/>
  <c r="P23" i="9"/>
  <c r="Q50" i="44" s="1"/>
  <c r="K33" i="40" l="1"/>
  <c r="Q26" i="9"/>
  <c r="Q49" i="44"/>
  <c r="R27" i="21"/>
  <c r="R15" i="44"/>
  <c r="K62" i="40"/>
  <c r="L51" i="40"/>
  <c r="L23" i="40" s="1"/>
  <c r="S50" i="9"/>
  <c r="R22" i="9"/>
  <c r="Q29" i="9"/>
  <c r="Q61" i="9" s="1"/>
  <c r="R44" i="44" s="1"/>
  <c r="Q23" i="9"/>
  <c r="R50" i="44" s="1"/>
  <c r="R26" i="9" l="1"/>
  <c r="R29" i="9" s="1"/>
  <c r="R61" i="9" s="1"/>
  <c r="S44" i="44" s="1"/>
  <c r="R49" i="44"/>
  <c r="S27" i="21"/>
  <c r="S15" i="44"/>
  <c r="L30" i="40"/>
  <c r="L24" i="40"/>
  <c r="L33" i="40" s="1"/>
  <c r="R23" i="9"/>
  <c r="S50" i="44" s="1"/>
  <c r="T50" i="9"/>
  <c r="S22" i="9"/>
  <c r="S26" i="9" l="1"/>
  <c r="S29" i="9" s="1"/>
  <c r="S61" i="9" s="1"/>
  <c r="T44" i="44" s="1"/>
  <c r="S49" i="44"/>
  <c r="T27" i="21"/>
  <c r="T15" i="44"/>
  <c r="L62" i="40"/>
  <c r="M51" i="40"/>
  <c r="M23" i="40" s="1"/>
  <c r="U50" i="9"/>
  <c r="S23" i="9"/>
  <c r="T50" i="44" s="1"/>
  <c r="T22" i="9"/>
  <c r="T26" i="9" l="1"/>
  <c r="T49" i="44"/>
  <c r="U15" i="44"/>
  <c r="U27" i="21"/>
  <c r="M30" i="40"/>
  <c r="M24" i="40"/>
  <c r="M33" i="40" s="1"/>
  <c r="V50" i="9"/>
  <c r="U22" i="9"/>
  <c r="U23" i="9" s="1"/>
  <c r="V50" i="44" s="1"/>
  <c r="T29" i="9"/>
  <c r="T61" i="9" s="1"/>
  <c r="U44" i="44" s="1"/>
  <c r="T23" i="9"/>
  <c r="U50" i="44" s="1"/>
  <c r="U26" i="9" l="1"/>
  <c r="U49" i="44"/>
  <c r="V27" i="21"/>
  <c r="V15" i="44"/>
  <c r="M62" i="40"/>
  <c r="N51" i="40"/>
  <c r="N23" i="40" s="1"/>
  <c r="O51" i="40"/>
  <c r="V22" i="9"/>
  <c r="V23" i="9" s="1"/>
  <c r="W50" i="44" s="1"/>
  <c r="W50" i="9"/>
  <c r="U29" i="9"/>
  <c r="U61" i="9" s="1"/>
  <c r="V44" i="44" s="1"/>
  <c r="V26" i="9" l="1"/>
  <c r="V29" i="9" s="1"/>
  <c r="V61" i="9" s="1"/>
  <c r="W44" i="44" s="1"/>
  <c r="V49" i="44"/>
  <c r="W27" i="21"/>
  <c r="X15" i="44" s="1"/>
  <c r="W15" i="44"/>
  <c r="O23" i="40"/>
  <c r="N24" i="40"/>
  <c r="N33" i="40" s="1"/>
  <c r="N30" i="40"/>
  <c r="N62" i="40" s="1"/>
  <c r="W22" i="9"/>
  <c r="W23" i="9" s="1"/>
  <c r="X50" i="44" s="1"/>
  <c r="W26" i="9" l="1"/>
  <c r="X49" i="44" s="1"/>
  <c r="W49" i="44"/>
  <c r="O24" i="40"/>
  <c r="O33" i="40" s="1"/>
  <c r="P23" i="40"/>
  <c r="O30" i="40"/>
  <c r="O62" i="40" s="1"/>
  <c r="W29" i="9" l="1"/>
  <c r="W61" i="9" s="1"/>
  <c r="X44" i="44" s="1"/>
  <c r="P30" i="40"/>
  <c r="P62" i="40" s="1"/>
  <c r="Q23" i="40"/>
  <c r="P24" i="40"/>
  <c r="P33" i="40" s="1"/>
  <c r="M72" i="21"/>
  <c r="N14" i="44" s="1"/>
  <c r="M71" i="9"/>
  <c r="R71" i="9"/>
  <c r="R72" i="21"/>
  <c r="S14" i="44" s="1"/>
  <c r="Q72" i="21"/>
  <c r="R14" i="44" s="1"/>
  <c r="Q71" i="9"/>
  <c r="J72" i="21"/>
  <c r="K14" i="44" s="1"/>
  <c r="J71" i="9"/>
  <c r="S72" i="21"/>
  <c r="T14" i="44" s="1"/>
  <c r="S71" i="9"/>
  <c r="P71" i="9"/>
  <c r="P72" i="21"/>
  <c r="Q14" i="44" s="1"/>
  <c r="G72" i="21"/>
  <c r="H14" i="44" s="1"/>
  <c r="K71" i="9"/>
  <c r="K72" i="21"/>
  <c r="L14" i="44" s="1"/>
  <c r="H71" i="9"/>
  <c r="H72" i="21"/>
  <c r="I14" i="44" s="1"/>
  <c r="U71" i="9"/>
  <c r="U72" i="21"/>
  <c r="V14" i="44" s="1"/>
  <c r="V71" i="9"/>
  <c r="V72" i="21"/>
  <c r="W14" i="44" s="1"/>
  <c r="I71" i="9"/>
  <c r="I72" i="21"/>
  <c r="J14" i="44" s="1"/>
  <c r="T72" i="21"/>
  <c r="U14" i="44" s="1"/>
  <c r="T71" i="9"/>
  <c r="N71" i="9"/>
  <c r="N72" i="21"/>
  <c r="O14" i="44" s="1"/>
  <c r="W72" i="21"/>
  <c r="X14" i="44" s="1"/>
  <c r="W71" i="9"/>
  <c r="O72" i="21"/>
  <c r="P14" i="44" s="1"/>
  <c r="O71" i="9"/>
  <c r="L72" i="21"/>
  <c r="M14" i="44" s="1"/>
  <c r="L71" i="9"/>
  <c r="Q24" i="40" l="1"/>
  <c r="Q33" i="40" s="1"/>
  <c r="Q30" i="40"/>
  <c r="Q62" i="40" s="1"/>
  <c r="R23" i="40"/>
  <c r="Q73" i="21"/>
  <c r="Q74" i="21" s="1"/>
  <c r="Q72" i="9"/>
  <c r="Q73" i="9" s="1"/>
  <c r="L73" i="21"/>
  <c r="L74" i="21" s="1"/>
  <c r="L72" i="9"/>
  <c r="L73" i="9" s="1"/>
  <c r="I63" i="21"/>
  <c r="I62" i="9"/>
  <c r="K73" i="21"/>
  <c r="K74" i="21" s="1"/>
  <c r="K72" i="9"/>
  <c r="K73" i="9" s="1"/>
  <c r="G72" i="9"/>
  <c r="G73" i="9" s="1"/>
  <c r="G73" i="21"/>
  <c r="G74" i="21" s="1"/>
  <c r="O72" i="9"/>
  <c r="O73" i="9" s="1"/>
  <c r="O73" i="21"/>
  <c r="O74" i="21" s="1"/>
  <c r="Q63" i="21"/>
  <c r="Q62" i="9"/>
  <c r="K63" i="21"/>
  <c r="K62" i="9"/>
  <c r="W63" i="21"/>
  <c r="W62" i="9"/>
  <c r="N62" i="9"/>
  <c r="N63" i="21"/>
  <c r="J72" i="9"/>
  <c r="J73" i="9" s="1"/>
  <c r="J73" i="21"/>
  <c r="J74" i="21" s="1"/>
  <c r="W73" i="21"/>
  <c r="W74" i="21" s="1"/>
  <c r="W72" i="9"/>
  <c r="W73" i="9" s="1"/>
  <c r="P72" i="9"/>
  <c r="P73" i="9" s="1"/>
  <c r="P73" i="21"/>
  <c r="P74" i="21" s="1"/>
  <c r="M72" i="9"/>
  <c r="M73" i="9" s="1"/>
  <c r="M73" i="21"/>
  <c r="M74" i="21" s="1"/>
  <c r="U62" i="9"/>
  <c r="U63" i="21"/>
  <c r="O63" i="21"/>
  <c r="O62" i="9"/>
  <c r="L62" i="9"/>
  <c r="L63" i="21"/>
  <c r="N72" i="9"/>
  <c r="N73" i="9" s="1"/>
  <c r="N73" i="21"/>
  <c r="N74" i="21" s="1"/>
  <c r="S72" i="9"/>
  <c r="S73" i="9" s="1"/>
  <c r="S73" i="21"/>
  <c r="S74" i="21" s="1"/>
  <c r="V73" i="21"/>
  <c r="V74" i="21" s="1"/>
  <c r="V72" i="9"/>
  <c r="V73" i="9" s="1"/>
  <c r="S63" i="21"/>
  <c r="S62" i="9"/>
  <c r="M63" i="21"/>
  <c r="M62" i="9"/>
  <c r="T72" i="9"/>
  <c r="T73" i="9" s="1"/>
  <c r="T73" i="21"/>
  <c r="T74" i="21" s="1"/>
  <c r="R63" i="21"/>
  <c r="R62" i="9"/>
  <c r="J62" i="9"/>
  <c r="J63" i="21"/>
  <c r="H63" i="21"/>
  <c r="G62" i="9"/>
  <c r="G63" i="21"/>
  <c r="U72" i="9"/>
  <c r="U73" i="9" s="1"/>
  <c r="U73" i="21"/>
  <c r="U74" i="21" s="1"/>
  <c r="T63" i="21"/>
  <c r="T62" i="9"/>
  <c r="V62" i="9"/>
  <c r="V63" i="21"/>
  <c r="H73" i="9"/>
  <c r="H73" i="21"/>
  <c r="H74" i="21" s="1"/>
  <c r="R72" i="9"/>
  <c r="R73" i="9" s="1"/>
  <c r="R73" i="21"/>
  <c r="R74" i="21" s="1"/>
  <c r="I73" i="21"/>
  <c r="I74" i="21" s="1"/>
  <c r="I72" i="9"/>
  <c r="I73" i="9" s="1"/>
  <c r="P62" i="9"/>
  <c r="P63" i="21"/>
  <c r="S23" i="40" l="1"/>
  <c r="R24" i="40"/>
  <c r="R33" i="40" s="1"/>
  <c r="R30" i="40"/>
  <c r="R62" i="40" s="1"/>
  <c r="S24" i="40" l="1"/>
  <c r="S33" i="40" s="1"/>
  <c r="T23" i="40"/>
  <c r="S30" i="40"/>
  <c r="S62" i="40" s="1"/>
  <c r="F72" i="21"/>
  <c r="G14" i="44" s="1"/>
  <c r="E71" i="9"/>
  <c r="E72" i="21"/>
  <c r="F14" i="44" s="1"/>
  <c r="D72" i="21"/>
  <c r="U23" i="40" l="1"/>
  <c r="T24" i="40"/>
  <c r="T30" i="40"/>
  <c r="T62" i="40" s="1"/>
  <c r="C20" i="8"/>
  <c r="W20" i="8"/>
  <c r="D20" i="8"/>
  <c r="U20" i="8"/>
  <c r="J20" i="8"/>
  <c r="T20" i="8"/>
  <c r="S20" i="8"/>
  <c r="D15" i="21"/>
  <c r="D73" i="21" s="1"/>
  <c r="D74" i="21" s="1"/>
  <c r="D14" i="9"/>
  <c r="D72" i="9" s="1"/>
  <c r="D73" i="9" s="1"/>
  <c r="Q20" i="8"/>
  <c r="J18" i="9"/>
  <c r="J64" i="9"/>
  <c r="J19" i="21"/>
  <c r="N20" i="8"/>
  <c r="M20" i="8"/>
  <c r="N32" i="9"/>
  <c r="O52" i="44" s="1"/>
  <c r="E20" i="8"/>
  <c r="E18" i="40" s="1"/>
  <c r="L18" i="9"/>
  <c r="L64" i="9"/>
  <c r="L19" i="21"/>
  <c r="L65" i="21"/>
  <c r="Q65" i="21"/>
  <c r="Q18" i="9"/>
  <c r="Q19" i="21"/>
  <c r="Q64" i="9"/>
  <c r="V20" i="8"/>
  <c r="K20" i="8"/>
  <c r="U18" i="9"/>
  <c r="U19" i="21"/>
  <c r="U64" i="9"/>
  <c r="U65" i="21"/>
  <c r="G20" i="8"/>
  <c r="G18" i="40" s="1"/>
  <c r="R20" i="8"/>
  <c r="H18" i="9"/>
  <c r="H19" i="21"/>
  <c r="R65" i="21"/>
  <c r="R64" i="9"/>
  <c r="R18" i="9"/>
  <c r="R19" i="21"/>
  <c r="C56" i="9"/>
  <c r="C57" i="21"/>
  <c r="G19" i="21"/>
  <c r="G64" i="9"/>
  <c r="G18" i="9"/>
  <c r="L20" i="8"/>
  <c r="P64" i="9"/>
  <c r="P19" i="21"/>
  <c r="P65" i="21"/>
  <c r="P18" i="9"/>
  <c r="D14" i="21"/>
  <c r="D63" i="21" s="1"/>
  <c r="D59" i="21" s="1"/>
  <c r="D13" i="9"/>
  <c r="D62" i="9" s="1"/>
  <c r="D58" i="9" s="1"/>
  <c r="S18" i="9"/>
  <c r="S19" i="21"/>
  <c r="S64" i="9"/>
  <c r="S65" i="21"/>
  <c r="K19" i="21"/>
  <c r="K65" i="21"/>
  <c r="K18" i="9"/>
  <c r="K64" i="9"/>
  <c r="H20" i="8"/>
  <c r="H18" i="40" s="1"/>
  <c r="D18" i="9"/>
  <c r="D19" i="21"/>
  <c r="I20" i="8"/>
  <c r="I18" i="40" s="1"/>
  <c r="I18" i="9"/>
  <c r="I64" i="9"/>
  <c r="I19" i="21"/>
  <c r="M18" i="9"/>
  <c r="M64" i="9"/>
  <c r="M65" i="21"/>
  <c r="M19" i="21"/>
  <c r="N64" i="9"/>
  <c r="N65" i="21"/>
  <c r="N18" i="9"/>
  <c r="N19" i="21"/>
  <c r="F41" i="9"/>
  <c r="F42" i="21"/>
  <c r="F14" i="21"/>
  <c r="G9" i="44" s="1"/>
  <c r="F13" i="9"/>
  <c r="F62" i="9" s="1"/>
  <c r="F58" i="9" s="1"/>
  <c r="W64" i="9"/>
  <c r="W19" i="21"/>
  <c r="W65" i="21"/>
  <c r="W18" i="9"/>
  <c r="E15" i="21"/>
  <c r="E73" i="21" s="1"/>
  <c r="E74" i="21" s="1"/>
  <c r="E14" i="9"/>
  <c r="E72" i="9" s="1"/>
  <c r="E73" i="9" s="1"/>
  <c r="F15" i="21"/>
  <c r="F73" i="21" s="1"/>
  <c r="F74" i="21" s="1"/>
  <c r="F14" i="9"/>
  <c r="F72" i="9" s="1"/>
  <c r="F73" i="9" s="1"/>
  <c r="P20" i="8"/>
  <c r="F20" i="8"/>
  <c r="F18" i="40" s="1"/>
  <c r="C15" i="21"/>
  <c r="C14" i="9"/>
  <c r="F18" i="9"/>
  <c r="F19" i="21"/>
  <c r="E14" i="21"/>
  <c r="E13" i="9"/>
  <c r="E62" i="9" s="1"/>
  <c r="E58" i="9" s="1"/>
  <c r="T19" i="21"/>
  <c r="T65" i="21"/>
  <c r="T18" i="9"/>
  <c r="T64" i="9"/>
  <c r="E19" i="21"/>
  <c r="E18" i="9"/>
  <c r="C14" i="21"/>
  <c r="C13" i="9"/>
  <c r="O65" i="21"/>
  <c r="O19" i="21"/>
  <c r="O18" i="9"/>
  <c r="O64" i="9"/>
  <c r="C19" i="21"/>
  <c r="C18" i="9"/>
  <c r="E41" i="9"/>
  <c r="E42" i="21"/>
  <c r="F17" i="44" s="1"/>
  <c r="C41" i="9"/>
  <c r="C101" i="9" s="1"/>
  <c r="C42" i="21"/>
  <c r="C103" i="21" s="1"/>
  <c r="O20" i="8"/>
  <c r="D42" i="21"/>
  <c r="D103" i="21" s="1"/>
  <c r="D41" i="9"/>
  <c r="D101" i="9" s="1"/>
  <c r="V65" i="21"/>
  <c r="V64" i="9"/>
  <c r="V19" i="21"/>
  <c r="V18" i="9"/>
  <c r="T33" i="40" l="1"/>
  <c r="F101" i="9"/>
  <c r="G51" i="44"/>
  <c r="E101" i="9"/>
  <c r="F51" i="44"/>
  <c r="F33" i="21"/>
  <c r="G18" i="44" s="1"/>
  <c r="G17" i="44"/>
  <c r="E63" i="21"/>
  <c r="E59" i="21" s="1"/>
  <c r="F9" i="44"/>
  <c r="F63" i="21"/>
  <c r="L18" i="40"/>
  <c r="L64" i="40"/>
  <c r="L59" i="40" s="1"/>
  <c r="K18" i="40"/>
  <c r="K64" i="40"/>
  <c r="M18" i="40"/>
  <c r="M64" i="40"/>
  <c r="M59" i="40" s="1"/>
  <c r="U24" i="40"/>
  <c r="U33" i="40" s="1"/>
  <c r="U30" i="40"/>
  <c r="U62" i="40" s="1"/>
  <c r="V23" i="40"/>
  <c r="N18" i="40"/>
  <c r="N64" i="40"/>
  <c r="N59" i="40" s="1"/>
  <c r="R18" i="40"/>
  <c r="R64" i="40"/>
  <c r="R59" i="40" s="1"/>
  <c r="V18" i="40"/>
  <c r="V64" i="40"/>
  <c r="S18" i="40"/>
  <c r="S64" i="40"/>
  <c r="S59" i="40" s="1"/>
  <c r="T18" i="40"/>
  <c r="T64" i="40"/>
  <c r="T59" i="40" s="1"/>
  <c r="J18" i="21"/>
  <c r="J18" i="40"/>
  <c r="U18" i="40"/>
  <c r="U64" i="40"/>
  <c r="D18" i="40"/>
  <c r="P18" i="40"/>
  <c r="P64" i="40"/>
  <c r="P59" i="40" s="1"/>
  <c r="O18" i="40"/>
  <c r="O64" i="40"/>
  <c r="O59" i="40" s="1"/>
  <c r="Q18" i="40"/>
  <c r="Q64" i="40"/>
  <c r="Q59" i="40" s="1"/>
  <c r="W18" i="40"/>
  <c r="W64" i="40"/>
  <c r="C18" i="40"/>
  <c r="H63" i="9"/>
  <c r="H58" i="9" s="1"/>
  <c r="K64" i="21"/>
  <c r="M64" i="21"/>
  <c r="N64" i="21"/>
  <c r="R64" i="21"/>
  <c r="L64" i="21"/>
  <c r="V64" i="21"/>
  <c r="S18" i="21"/>
  <c r="S64" i="21"/>
  <c r="T64" i="21"/>
  <c r="U64" i="21"/>
  <c r="P64" i="21"/>
  <c r="O64" i="21"/>
  <c r="Q64" i="21"/>
  <c r="W64" i="21"/>
  <c r="U17" i="9"/>
  <c r="G63" i="9"/>
  <c r="G58" i="9" s="1"/>
  <c r="C18" i="21"/>
  <c r="C17" i="9"/>
  <c r="W17" i="9"/>
  <c r="T17" i="9"/>
  <c r="S63" i="9"/>
  <c r="S58" i="9" s="1"/>
  <c r="T18" i="21"/>
  <c r="S17" i="9"/>
  <c r="J17" i="9"/>
  <c r="D17" i="9"/>
  <c r="D18" i="21"/>
  <c r="U18" i="21"/>
  <c r="W18" i="21"/>
  <c r="W63" i="9"/>
  <c r="W58" i="9" s="1"/>
  <c r="T63" i="9"/>
  <c r="T58" i="9" s="1"/>
  <c r="E32" i="9"/>
  <c r="F52" i="44" s="1"/>
  <c r="O63" i="9"/>
  <c r="O58" i="9" s="1"/>
  <c r="F17" i="9"/>
  <c r="F18" i="21"/>
  <c r="L18" i="21"/>
  <c r="L17" i="9"/>
  <c r="L63" i="9"/>
  <c r="L58" i="9" s="1"/>
  <c r="V42" i="21"/>
  <c r="V32" i="9"/>
  <c r="W52" i="44" s="1"/>
  <c r="O32" i="9"/>
  <c r="P52" i="44" s="1"/>
  <c r="D33" i="21"/>
  <c r="D69" i="21" s="1"/>
  <c r="R42" i="21"/>
  <c r="R32" i="9"/>
  <c r="S52" i="44" s="1"/>
  <c r="W42" i="21"/>
  <c r="W32" i="9"/>
  <c r="X52" i="44" s="1"/>
  <c r="V18" i="21"/>
  <c r="V17" i="9"/>
  <c r="V63" i="9"/>
  <c r="V58" i="9" s="1"/>
  <c r="C33" i="21"/>
  <c r="F32" i="9"/>
  <c r="G52" i="44" s="1"/>
  <c r="C90" i="21"/>
  <c r="D70" i="21"/>
  <c r="S42" i="21"/>
  <c r="S32" i="9"/>
  <c r="T52" i="44" s="1"/>
  <c r="P18" i="21"/>
  <c r="P63" i="9"/>
  <c r="P58" i="9" s="1"/>
  <c r="P17" i="9"/>
  <c r="I18" i="21"/>
  <c r="I17" i="9"/>
  <c r="I63" i="9"/>
  <c r="I58" i="9" s="1"/>
  <c r="U42" i="21"/>
  <c r="U32" i="9"/>
  <c r="V52" i="44" s="1"/>
  <c r="M17" i="9"/>
  <c r="M63" i="9"/>
  <c r="M58" i="9" s="1"/>
  <c r="M18" i="21"/>
  <c r="J63" i="9"/>
  <c r="J58" i="9" s="1"/>
  <c r="C32" i="9"/>
  <c r="C87" i="9"/>
  <c r="D69" i="9"/>
  <c r="R18" i="21"/>
  <c r="R17" i="9"/>
  <c r="R63" i="9"/>
  <c r="R58" i="9" s="1"/>
  <c r="Q32" i="9"/>
  <c r="R52" i="44" s="1"/>
  <c r="Q42" i="21"/>
  <c r="N63" i="9"/>
  <c r="N58" i="9" s="1"/>
  <c r="N17" i="9"/>
  <c r="N18" i="21"/>
  <c r="U63" i="9"/>
  <c r="U58" i="9" s="1"/>
  <c r="Q63" i="9"/>
  <c r="Q58" i="9" s="1"/>
  <c r="Q17" i="9"/>
  <c r="Q18" i="21"/>
  <c r="D32" i="9"/>
  <c r="D68" i="9" s="1"/>
  <c r="O17" i="9"/>
  <c r="O18" i="21"/>
  <c r="E33" i="21"/>
  <c r="F18" i="44" s="1"/>
  <c r="H17" i="9"/>
  <c r="H18" i="21"/>
  <c r="G17" i="9"/>
  <c r="G18" i="21"/>
  <c r="P42" i="21"/>
  <c r="P32" i="9"/>
  <c r="Q52" i="44" s="1"/>
  <c r="K63" i="9"/>
  <c r="K58" i="9" s="1"/>
  <c r="K17" i="9"/>
  <c r="K18" i="21"/>
  <c r="E18" i="21"/>
  <c r="E17" i="9"/>
  <c r="T32" i="9"/>
  <c r="U52" i="44" s="1"/>
  <c r="T42" i="21"/>
  <c r="X17" i="44" l="1"/>
  <c r="Q17" i="44"/>
  <c r="R17" i="44"/>
  <c r="V17" i="44"/>
  <c r="S17" i="44"/>
  <c r="W17" i="44"/>
  <c r="U17" i="44"/>
  <c r="T17" i="44"/>
  <c r="K59" i="40"/>
  <c r="U59" i="40"/>
  <c r="W23" i="40"/>
  <c r="V24" i="40"/>
  <c r="V33" i="40" s="1"/>
  <c r="V30" i="40"/>
  <c r="V62" i="40" s="1"/>
  <c r="V59" i="40" s="1"/>
  <c r="D68" i="21"/>
  <c r="D67" i="9"/>
  <c r="D66" i="9" s="1"/>
  <c r="L32" i="9"/>
  <c r="M52" i="44" s="1"/>
  <c r="L42" i="21"/>
  <c r="Q38" i="21"/>
  <c r="R12" i="44" s="1"/>
  <c r="R37" i="21"/>
  <c r="S11" i="44" s="1"/>
  <c r="K42" i="21"/>
  <c r="K32" i="9"/>
  <c r="L52" i="44" s="1"/>
  <c r="U37" i="21"/>
  <c r="V11" i="44" s="1"/>
  <c r="J42" i="21"/>
  <c r="J32" i="9"/>
  <c r="K52" i="44" s="1"/>
  <c r="W38" i="21"/>
  <c r="X12" i="44" s="1"/>
  <c r="S37" i="21"/>
  <c r="T11" i="44" s="1"/>
  <c r="V38" i="21"/>
  <c r="W12" i="44" s="1"/>
  <c r="U38" i="21"/>
  <c r="V12" i="44" s="1"/>
  <c r="V37" i="21"/>
  <c r="W11" i="44" s="1"/>
  <c r="M42" i="21"/>
  <c r="M32" i="9"/>
  <c r="N52" i="44" s="1"/>
  <c r="T38" i="21"/>
  <c r="U12" i="44" s="1"/>
  <c r="R38" i="21"/>
  <c r="S12" i="44" s="1"/>
  <c r="T37" i="21"/>
  <c r="U11" i="44" s="1"/>
  <c r="I32" i="9"/>
  <c r="J52" i="44" s="1"/>
  <c r="I42" i="21"/>
  <c r="S38" i="21"/>
  <c r="T12" i="44" s="1"/>
  <c r="P38" i="21"/>
  <c r="Q12" i="44" s="1"/>
  <c r="W37" i="21"/>
  <c r="X11" i="44" s="1"/>
  <c r="D71" i="40" l="1"/>
  <c r="D67" i="40" s="1"/>
  <c r="D58" i="40" s="1"/>
  <c r="D57" i="40" s="1"/>
  <c r="D71" i="21"/>
  <c r="D67" i="21" s="1"/>
  <c r="D58" i="21" s="1"/>
  <c r="D57" i="21" s="1"/>
  <c r="J17" i="44"/>
  <c r="K17" i="44"/>
  <c r="L17" i="44"/>
  <c r="N17" i="44"/>
  <c r="M17" i="44"/>
  <c r="W30" i="40"/>
  <c r="W62" i="40" s="1"/>
  <c r="W24" i="40"/>
  <c r="D77" i="21"/>
  <c r="D78" i="21"/>
  <c r="D76" i="9"/>
  <c r="D77" i="9"/>
  <c r="E68" i="40" l="1"/>
  <c r="E69" i="40"/>
  <c r="D92" i="40"/>
  <c r="E70" i="40"/>
  <c r="W33" i="40"/>
  <c r="W59" i="40"/>
  <c r="D57" i="9"/>
  <c r="D56" i="9" s="1"/>
  <c r="E68" i="21"/>
  <c r="E69" i="21"/>
  <c r="E70" i="21"/>
  <c r="D90" i="21"/>
  <c r="D95" i="40" l="1"/>
  <c r="D93" i="40"/>
  <c r="D87" i="40"/>
  <c r="D88" i="40" s="1"/>
  <c r="D94" i="40"/>
  <c r="D96" i="40"/>
  <c r="D97" i="40"/>
  <c r="E77" i="40"/>
  <c r="E78" i="40"/>
  <c r="F10" i="44"/>
  <c r="D85" i="21"/>
  <c r="D86" i="21" s="1"/>
  <c r="D87" i="9"/>
  <c r="E68" i="9"/>
  <c r="E67" i="9"/>
  <c r="E69" i="9"/>
  <c r="D92" i="21"/>
  <c r="D95" i="21"/>
  <c r="D94" i="21"/>
  <c r="D91" i="21"/>
  <c r="D93" i="21"/>
  <c r="E77" i="21"/>
  <c r="E78" i="21"/>
  <c r="F6" i="44" l="1"/>
  <c r="E102" i="40"/>
  <c r="E103" i="40" s="1"/>
  <c r="F45" i="44"/>
  <c r="E100" i="21"/>
  <c r="E101" i="21" s="1"/>
  <c r="E76" i="9"/>
  <c r="E77" i="9"/>
  <c r="D88" i="9"/>
  <c r="D89" i="9"/>
  <c r="D90" i="9"/>
  <c r="D92" i="9"/>
  <c r="D91" i="9"/>
  <c r="D83" i="9"/>
  <c r="D84" i="9" s="1"/>
  <c r="E66" i="9" l="1"/>
  <c r="E57" i="9" s="1"/>
  <c r="E56" i="9" s="1"/>
  <c r="E71" i="21"/>
  <c r="E67" i="21" s="1"/>
  <c r="E58" i="21" s="1"/>
  <c r="E57" i="21" s="1"/>
  <c r="E71" i="40"/>
  <c r="E67" i="40" s="1"/>
  <c r="E58" i="40" s="1"/>
  <c r="E57" i="40" s="1"/>
  <c r="F42" i="44"/>
  <c r="D94" i="9"/>
  <c r="E97" i="9"/>
  <c r="F41" i="44" l="1"/>
  <c r="E87" i="9"/>
  <c r="F67" i="9"/>
  <c r="F76" i="9" s="1"/>
  <c r="F68" i="9"/>
  <c r="F69" i="9"/>
  <c r="F68" i="40"/>
  <c r="F69" i="40"/>
  <c r="F70" i="40"/>
  <c r="E92" i="40"/>
  <c r="F5" i="44"/>
  <c r="F68" i="21"/>
  <c r="F69" i="21"/>
  <c r="F70" i="21"/>
  <c r="E90" i="21"/>
  <c r="G45" i="44"/>
  <c r="E83" i="9"/>
  <c r="E92" i="9" s="1"/>
  <c r="D99" i="40"/>
  <c r="D97" i="21"/>
  <c r="D93" i="9"/>
  <c r="F77" i="9" l="1"/>
  <c r="E87" i="40"/>
  <c r="E97" i="40" s="1"/>
  <c r="E85" i="21"/>
  <c r="E94" i="21" s="1"/>
  <c r="G10" i="44"/>
  <c r="F77" i="40"/>
  <c r="F78" i="40"/>
  <c r="G42" i="44"/>
  <c r="E91" i="9"/>
  <c r="E84" i="9"/>
  <c r="E89" i="9" s="1"/>
  <c r="D98" i="40"/>
  <c r="D96" i="21"/>
  <c r="F71" i="40" l="1"/>
  <c r="F67" i="40" s="1"/>
  <c r="F58" i="40" s="1"/>
  <c r="F57" i="40" s="1"/>
  <c r="F71" i="21"/>
  <c r="F67" i="21" s="1"/>
  <c r="F66" i="9"/>
  <c r="F57" i="9" s="1"/>
  <c r="F56" i="9" s="1"/>
  <c r="E88" i="40"/>
  <c r="E94" i="40" s="1"/>
  <c r="E96" i="40"/>
  <c r="E95" i="21"/>
  <c r="G69" i="40"/>
  <c r="G70" i="40"/>
  <c r="F92" i="40"/>
  <c r="G68" i="40"/>
  <c r="E86" i="21"/>
  <c r="E93" i="21" s="1"/>
  <c r="E90" i="9"/>
  <c r="E88" i="9" s="1"/>
  <c r="E93" i="9" s="1"/>
  <c r="G41" i="44"/>
  <c r="E95" i="40"/>
  <c r="F99" i="21"/>
  <c r="G67" i="9" l="1"/>
  <c r="G71" i="40" s="1"/>
  <c r="G67" i="40" s="1"/>
  <c r="G58" i="40" s="1"/>
  <c r="G57" i="40" s="1"/>
  <c r="G69" i="9"/>
  <c r="G68" i="9"/>
  <c r="F87" i="9"/>
  <c r="E92" i="21"/>
  <c r="E91" i="21" s="1"/>
  <c r="F61" i="44"/>
  <c r="F103" i="21"/>
  <c r="G78" i="40"/>
  <c r="G26" i="35" s="1"/>
  <c r="G77" i="40"/>
  <c r="F87" i="40"/>
  <c r="F96" i="40" s="1"/>
  <c r="E93" i="40"/>
  <c r="E99" i="40" s="1"/>
  <c r="F97" i="9"/>
  <c r="E94" i="9"/>
  <c r="G77" i="9"/>
  <c r="H45" i="44" l="1"/>
  <c r="G76" i="9"/>
  <c r="H42" i="44" s="1"/>
  <c r="G71" i="21"/>
  <c r="G66" i="9"/>
  <c r="G57" i="9" s="1"/>
  <c r="G56" i="9" s="1"/>
  <c r="F100" i="21"/>
  <c r="F101" i="21" s="1"/>
  <c r="F58" i="44"/>
  <c r="F60" i="44"/>
  <c r="F59" i="44"/>
  <c r="H70" i="40"/>
  <c r="H69" i="40"/>
  <c r="G92" i="40"/>
  <c r="F97" i="40"/>
  <c r="E98" i="40"/>
  <c r="F88" i="40" s="1"/>
  <c r="F95" i="40" s="1"/>
  <c r="F102" i="40"/>
  <c r="F103" i="40" s="1"/>
  <c r="E96" i="21"/>
  <c r="F62" i="44" s="1"/>
  <c r="E97" i="21"/>
  <c r="F83" i="9"/>
  <c r="F94" i="40" l="1"/>
  <c r="F93" i="40" s="1"/>
  <c r="G87" i="40"/>
  <c r="G97" i="40" s="1"/>
  <c r="G87" i="9"/>
  <c r="H41" i="44"/>
  <c r="H69" i="9"/>
  <c r="H68" i="9"/>
  <c r="F91" i="9"/>
  <c r="F84" i="9"/>
  <c r="F89" i="9" s="1"/>
  <c r="F92" i="9"/>
  <c r="F99" i="40" l="1"/>
  <c r="F98" i="40"/>
  <c r="G102" i="40"/>
  <c r="G103" i="40" s="1"/>
  <c r="G96" i="40"/>
  <c r="F90" i="9"/>
  <c r="F88" i="9" s="1"/>
  <c r="G88" i="40" l="1"/>
  <c r="F94" i="9"/>
  <c r="G99" i="21"/>
  <c r="G94" i="40" l="1"/>
  <c r="G95" i="40"/>
  <c r="F93" i="9"/>
  <c r="G97" i="9"/>
  <c r="G83" i="9"/>
  <c r="G91" i="9" s="1"/>
  <c r="G93" i="40" l="1"/>
  <c r="G92" i="9"/>
  <c r="G84" i="9"/>
  <c r="G90" i="9" s="1"/>
  <c r="E99" i="21"/>
  <c r="E103" i="21" s="1"/>
  <c r="H102" i="40" l="1"/>
  <c r="H103" i="40" s="1"/>
  <c r="H101" i="40" s="1"/>
  <c r="G98" i="40"/>
  <c r="G99" i="40"/>
  <c r="G89" i="9"/>
  <c r="H36" i="40" l="1"/>
  <c r="H68" i="40" s="1"/>
  <c r="H67" i="40" s="1"/>
  <c r="H58" i="40" s="1"/>
  <c r="H57" i="40" s="1"/>
  <c r="H106" i="40"/>
  <c r="H92" i="40" s="1"/>
  <c r="G88" i="9"/>
  <c r="F78" i="21"/>
  <c r="G12" i="21" s="1"/>
  <c r="F59" i="21"/>
  <c r="F77" i="21" s="1"/>
  <c r="G79" i="21" l="1"/>
  <c r="H77" i="40"/>
  <c r="H78" i="40"/>
  <c r="H26" i="35" s="1"/>
  <c r="I70" i="40"/>
  <c r="I69" i="40"/>
  <c r="H87" i="40"/>
  <c r="H88" i="40" s="1"/>
  <c r="H94" i="40" s="1"/>
  <c r="G6" i="44"/>
  <c r="G93" i="9"/>
  <c r="G94" i="9"/>
  <c r="H97" i="9"/>
  <c r="H98" i="9" s="1"/>
  <c r="F58" i="21"/>
  <c r="F57" i="21" s="1"/>
  <c r="H96" i="40" l="1"/>
  <c r="H95" i="40"/>
  <c r="H93" i="40" s="1"/>
  <c r="H97" i="40"/>
  <c r="G5" i="44"/>
  <c r="H7" i="44"/>
  <c r="G50" i="21"/>
  <c r="G13" i="21"/>
  <c r="G18" i="35"/>
  <c r="F90" i="21"/>
  <c r="G70" i="21"/>
  <c r="H98" i="40" l="1"/>
  <c r="H99" i="40"/>
  <c r="I102" i="40"/>
  <c r="I103" i="40" s="1"/>
  <c r="I101" i="40" s="1"/>
  <c r="F85" i="21"/>
  <c r="F86" i="21" s="1"/>
  <c r="G60" i="21"/>
  <c r="G52" i="21"/>
  <c r="I106" i="40" l="1"/>
  <c r="I92" i="40" s="1"/>
  <c r="I36" i="40"/>
  <c r="I68" i="40" s="1"/>
  <c r="F92" i="21"/>
  <c r="F93" i="21"/>
  <c r="F95" i="21"/>
  <c r="F94" i="21"/>
  <c r="G23" i="21"/>
  <c r="G24" i="21" s="1"/>
  <c r="I67" i="40" l="1"/>
  <c r="I58" i="40" s="1"/>
  <c r="I57" i="40" s="1"/>
  <c r="I78" i="40"/>
  <c r="I26" i="35" s="1"/>
  <c r="I77" i="40"/>
  <c r="I87" i="40"/>
  <c r="I88" i="40" s="1"/>
  <c r="I94" i="40" s="1"/>
  <c r="G61" i="44"/>
  <c r="H16" i="44"/>
  <c r="G103" i="21"/>
  <c r="F91" i="21"/>
  <c r="G30" i="21"/>
  <c r="G62" i="21" s="1"/>
  <c r="G33" i="21"/>
  <c r="G59" i="44" l="1"/>
  <c r="G58" i="44"/>
  <c r="I97" i="40"/>
  <c r="I95" i="40"/>
  <c r="I96" i="40"/>
  <c r="J70" i="40"/>
  <c r="J69" i="40"/>
  <c r="G60" i="44"/>
  <c r="G68" i="21"/>
  <c r="H10" i="44" s="1"/>
  <c r="H18" i="44"/>
  <c r="G59" i="21"/>
  <c r="H8" i="44"/>
  <c r="G100" i="21"/>
  <c r="G101" i="21" s="1"/>
  <c r="F97" i="21"/>
  <c r="F96" i="21"/>
  <c r="G62" i="44" s="1"/>
  <c r="H51" i="21"/>
  <c r="G69" i="21"/>
  <c r="I93" i="40" l="1"/>
  <c r="I98" i="40" s="1"/>
  <c r="G77" i="21"/>
  <c r="G78" i="21"/>
  <c r="H12" i="21" s="1"/>
  <c r="G67" i="21"/>
  <c r="G58" i="21" s="1"/>
  <c r="G57" i="21" s="1"/>
  <c r="H79" i="21" l="1"/>
  <c r="H6" i="44"/>
  <c r="J102" i="40"/>
  <c r="J103" i="40" s="1"/>
  <c r="J101" i="40" s="1"/>
  <c r="I99" i="40"/>
  <c r="G19" i="35"/>
  <c r="H5" i="44"/>
  <c r="H70" i="21"/>
  <c r="G90" i="21"/>
  <c r="H13" i="21" l="1"/>
  <c r="J36" i="40"/>
  <c r="J68" i="40" s="1"/>
  <c r="J106" i="40"/>
  <c r="J92" i="40" s="1"/>
  <c r="H18" i="35"/>
  <c r="I7" i="44"/>
  <c r="H50" i="21"/>
  <c r="G85" i="21"/>
  <c r="G86" i="21" s="1"/>
  <c r="H60" i="21"/>
  <c r="H52" i="21"/>
  <c r="J87" i="40" l="1"/>
  <c r="J88" i="40" s="1"/>
  <c r="J95" i="40" s="1"/>
  <c r="J78" i="40"/>
  <c r="J26" i="35" s="1"/>
  <c r="J67" i="40"/>
  <c r="J58" i="40" s="1"/>
  <c r="J57" i="40" s="1"/>
  <c r="J77" i="40"/>
  <c r="H23" i="21"/>
  <c r="H24" i="21" s="1"/>
  <c r="G94" i="21"/>
  <c r="G92" i="21"/>
  <c r="G95" i="21"/>
  <c r="G93" i="21"/>
  <c r="J94" i="40" l="1"/>
  <c r="J93" i="40" s="1"/>
  <c r="J97" i="40"/>
  <c r="J96" i="40"/>
  <c r="K70" i="40"/>
  <c r="K69" i="40"/>
  <c r="H30" i="21"/>
  <c r="H62" i="21" s="1"/>
  <c r="H61" i="44"/>
  <c r="G91" i="21"/>
  <c r="I16" i="44"/>
  <c r="H33" i="21"/>
  <c r="I18" i="44" s="1"/>
  <c r="H59" i="44" l="1"/>
  <c r="H58" i="44"/>
  <c r="K102" i="40"/>
  <c r="K103" i="40" s="1"/>
  <c r="K101" i="40" s="1"/>
  <c r="K106" i="40" s="1"/>
  <c r="K92" i="40" s="1"/>
  <c r="I51" i="21"/>
  <c r="J98" i="40"/>
  <c r="J99" i="40"/>
  <c r="H100" i="21"/>
  <c r="H101" i="21" s="1"/>
  <c r="H99" i="21" s="1"/>
  <c r="G97" i="21"/>
  <c r="G96" i="21"/>
  <c r="H62" i="44" s="1"/>
  <c r="H60" i="44"/>
  <c r="H59" i="21"/>
  <c r="I8" i="44"/>
  <c r="H69" i="21"/>
  <c r="K36" i="40" l="1"/>
  <c r="K68" i="40" s="1"/>
  <c r="K77" i="40" s="1"/>
  <c r="H36" i="21"/>
  <c r="K87" i="40"/>
  <c r="K88" i="40" s="1"/>
  <c r="K94" i="40" s="1"/>
  <c r="H103" i="21"/>
  <c r="H90" i="21" s="1"/>
  <c r="K78" i="40" l="1"/>
  <c r="K26" i="35" s="1"/>
  <c r="K67" i="40"/>
  <c r="K58" i="40" s="1"/>
  <c r="K57" i="40" s="1"/>
  <c r="H68" i="21"/>
  <c r="H77" i="21" s="1"/>
  <c r="I13" i="44"/>
  <c r="K95" i="40"/>
  <c r="K93" i="40" s="1"/>
  <c r="K96" i="40"/>
  <c r="K97" i="40"/>
  <c r="H85" i="21"/>
  <c r="H86" i="21" s="1"/>
  <c r="H93" i="21" s="1"/>
  <c r="H67" i="21" l="1"/>
  <c r="H58" i="21" s="1"/>
  <c r="H57" i="21" s="1"/>
  <c r="H78" i="21"/>
  <c r="I12" i="21" s="1"/>
  <c r="I10" i="44"/>
  <c r="L69" i="40"/>
  <c r="K83" i="40"/>
  <c r="L70" i="40"/>
  <c r="H95" i="21"/>
  <c r="H94" i="21"/>
  <c r="I61" i="44" s="1"/>
  <c r="H92" i="21"/>
  <c r="H91" i="21" s="1"/>
  <c r="K98" i="40"/>
  <c r="L102" i="40"/>
  <c r="L103" i="40" s="1"/>
  <c r="L101" i="40" s="1"/>
  <c r="K99" i="40"/>
  <c r="I6" i="44"/>
  <c r="I5" i="44" l="1"/>
  <c r="I70" i="21"/>
  <c r="I79" i="21"/>
  <c r="H19" i="35"/>
  <c r="H97" i="21"/>
  <c r="I58" i="44"/>
  <c r="L106" i="40"/>
  <c r="L92" i="40" s="1"/>
  <c r="L87" i="40" s="1"/>
  <c r="L88" i="40" s="1"/>
  <c r="L94" i="40" s="1"/>
  <c r="L36" i="40"/>
  <c r="L68" i="40" s="1"/>
  <c r="I60" i="44"/>
  <c r="I59" i="44"/>
  <c r="J7" i="44"/>
  <c r="I100" i="21"/>
  <c r="I101" i="21" s="1"/>
  <c r="I99" i="21" s="1"/>
  <c r="H96" i="21"/>
  <c r="I62" i="44" s="1"/>
  <c r="I60" i="21" l="1"/>
  <c r="I13" i="21"/>
  <c r="I50" i="21"/>
  <c r="I52" i="21"/>
  <c r="I18" i="35"/>
  <c r="L96" i="40"/>
  <c r="L97" i="40"/>
  <c r="L77" i="40"/>
  <c r="L78" i="40"/>
  <c r="L26" i="35" s="1"/>
  <c r="L67" i="40"/>
  <c r="L58" i="40" s="1"/>
  <c r="L57" i="40" s="1"/>
  <c r="L95" i="40"/>
  <c r="L93" i="40" s="1"/>
  <c r="I36" i="21"/>
  <c r="I23" i="21" l="1"/>
  <c r="I30" i="21" s="1"/>
  <c r="J51" i="21" s="1"/>
  <c r="J13" i="44"/>
  <c r="L83" i="40"/>
  <c r="M69" i="40"/>
  <c r="M70" i="40"/>
  <c r="M102" i="40"/>
  <c r="M103" i="40" s="1"/>
  <c r="M101" i="40" s="1"/>
  <c r="L99" i="40"/>
  <c r="L98" i="40"/>
  <c r="I24" i="21" l="1"/>
  <c r="I62" i="21"/>
  <c r="J8" i="44" s="1"/>
  <c r="M106" i="40"/>
  <c r="M92" i="40" s="1"/>
  <c r="M36" i="40"/>
  <c r="I33" i="21" l="1"/>
  <c r="I103" i="21"/>
  <c r="I90" i="21" s="1"/>
  <c r="J16" i="44"/>
  <c r="I59" i="21"/>
  <c r="I69" i="21"/>
  <c r="M68" i="40"/>
  <c r="M78" i="40" s="1"/>
  <c r="M26" i="35" s="1"/>
  <c r="M87" i="40"/>
  <c r="M88" i="40" s="1"/>
  <c r="I68" i="21" l="1"/>
  <c r="I67" i="21" s="1"/>
  <c r="I58" i="21" s="1"/>
  <c r="I57" i="21" s="1"/>
  <c r="J18" i="44"/>
  <c r="I85" i="21"/>
  <c r="I86" i="21" s="1"/>
  <c r="I92" i="21" s="1"/>
  <c r="M67" i="40"/>
  <c r="M58" i="40" s="1"/>
  <c r="M57" i="40" s="1"/>
  <c r="N70" i="40" s="1"/>
  <c r="M77" i="40"/>
  <c r="M95" i="40"/>
  <c r="M94" i="40"/>
  <c r="M97" i="40"/>
  <c r="M96" i="40"/>
  <c r="I95" i="21" l="1"/>
  <c r="J5" i="44"/>
  <c r="I94" i="21"/>
  <c r="J61" i="44" s="1"/>
  <c r="I78" i="21"/>
  <c r="J12" i="21" s="1"/>
  <c r="K12" i="21" s="1"/>
  <c r="L12" i="21" s="1"/>
  <c r="M12" i="21" s="1"/>
  <c r="J10" i="44"/>
  <c r="J70" i="21"/>
  <c r="I93" i="21"/>
  <c r="I91" i="21" s="1"/>
  <c r="I77" i="21"/>
  <c r="J58" i="44"/>
  <c r="J59" i="44"/>
  <c r="N69" i="40"/>
  <c r="M83" i="40"/>
  <c r="M93" i="40"/>
  <c r="M99" i="40" s="1"/>
  <c r="J60" i="44" l="1"/>
  <c r="I97" i="21"/>
  <c r="J100" i="21"/>
  <c r="J101" i="21" s="1"/>
  <c r="J99" i="21" s="1"/>
  <c r="J36" i="21" s="1"/>
  <c r="J6" i="44"/>
  <c r="I19" i="35"/>
  <c r="I96" i="21"/>
  <c r="J62" i="44" s="1"/>
  <c r="K13" i="44"/>
  <c r="N102" i="40"/>
  <c r="N103" i="40" s="1"/>
  <c r="N101" i="40" s="1"/>
  <c r="N106" i="40" s="1"/>
  <c r="N92" i="40" s="1"/>
  <c r="M98" i="40"/>
  <c r="J18" i="35" l="1"/>
  <c r="N36" i="40"/>
  <c r="N87" i="40"/>
  <c r="K7" i="44" l="1"/>
  <c r="J13" i="21"/>
  <c r="J60" i="21"/>
  <c r="J52" i="21"/>
  <c r="J20" i="35"/>
  <c r="J50" i="21"/>
  <c r="J79" i="21"/>
  <c r="D81" i="21" s="1"/>
  <c r="N68" i="40"/>
  <c r="N77" i="40" s="1"/>
  <c r="N97" i="40"/>
  <c r="N96" i="40"/>
  <c r="N88" i="40"/>
  <c r="N94" i="40" s="1"/>
  <c r="J23" i="21" l="1"/>
  <c r="J24" i="21" s="1"/>
  <c r="K16" i="44"/>
  <c r="N67" i="40"/>
  <c r="N58" i="40" s="1"/>
  <c r="N57" i="40" s="1"/>
  <c r="N83" i="40" s="1"/>
  <c r="N78" i="40"/>
  <c r="N95" i="40"/>
  <c r="J30" i="21" l="1"/>
  <c r="K51" i="21" s="1"/>
  <c r="J103" i="21"/>
  <c r="J33" i="21"/>
  <c r="K18" i="44" s="1"/>
  <c r="O70" i="40"/>
  <c r="O69" i="40"/>
  <c r="N93" i="40"/>
  <c r="O102" i="40" s="1"/>
  <c r="O103" i="40" s="1"/>
  <c r="O101" i="40" s="1"/>
  <c r="O106" i="40" s="1"/>
  <c r="O92" i="40" s="1"/>
  <c r="J62" i="21" l="1"/>
  <c r="J90" i="21" s="1"/>
  <c r="J85" i="21" s="1"/>
  <c r="J86" i="21" s="1"/>
  <c r="J69" i="21"/>
  <c r="J68" i="21"/>
  <c r="K10" i="44" s="1"/>
  <c r="K8" i="44"/>
  <c r="N98" i="40"/>
  <c r="N99" i="40"/>
  <c r="O36" i="40"/>
  <c r="O68" i="40" s="1"/>
  <c r="O78" i="40" s="1"/>
  <c r="O87" i="40"/>
  <c r="J59" i="21" l="1"/>
  <c r="J77" i="21" s="1"/>
  <c r="J78" i="21"/>
  <c r="J67" i="21"/>
  <c r="J92" i="21"/>
  <c r="J93" i="21"/>
  <c r="J95" i="21"/>
  <c r="J94" i="21"/>
  <c r="K61" i="44" s="1"/>
  <c r="O77" i="40"/>
  <c r="O67" i="40"/>
  <c r="O58" i="40" s="1"/>
  <c r="O57" i="40" s="1"/>
  <c r="O83" i="40" s="1"/>
  <c r="O88" i="40"/>
  <c r="O95" i="40" s="1"/>
  <c r="O97" i="40"/>
  <c r="O96" i="40"/>
  <c r="K6" i="44" l="1"/>
  <c r="J58" i="21"/>
  <c r="J57" i="21" s="1"/>
  <c r="K70" i="21" s="1"/>
  <c r="K5" i="44"/>
  <c r="J19" i="35"/>
  <c r="J91" i="21"/>
  <c r="J96" i="21" s="1"/>
  <c r="K62" i="44" s="1"/>
  <c r="P69" i="40"/>
  <c r="P70" i="40"/>
  <c r="K60" i="44"/>
  <c r="K59" i="44"/>
  <c r="O94" i="40"/>
  <c r="O93" i="40" s="1"/>
  <c r="O99" i="40" s="1"/>
  <c r="J97" i="21" l="1"/>
  <c r="K100" i="21"/>
  <c r="K101" i="21" s="1"/>
  <c r="K99" i="21" s="1"/>
  <c r="K58" i="44"/>
  <c r="P102" i="40"/>
  <c r="P103" i="40" s="1"/>
  <c r="P101" i="40" s="1"/>
  <c r="P106" i="40" s="1"/>
  <c r="P92" i="40" s="1"/>
  <c r="P87" i="40" s="1"/>
  <c r="O98" i="40"/>
  <c r="K36" i="21" l="1"/>
  <c r="P36" i="40"/>
  <c r="P68" i="40" s="1"/>
  <c r="P78" i="40" s="1"/>
  <c r="P97" i="40"/>
  <c r="P88" i="40"/>
  <c r="P95" i="40" s="1"/>
  <c r="P96" i="40"/>
  <c r="K79" i="21" l="1"/>
  <c r="K60" i="21"/>
  <c r="L13" i="44"/>
  <c r="K52" i="21"/>
  <c r="K13" i="21"/>
  <c r="L7" i="44"/>
  <c r="K50" i="21"/>
  <c r="K18" i="35"/>
  <c r="P67" i="40"/>
  <c r="P58" i="40" s="1"/>
  <c r="P57" i="40" s="1"/>
  <c r="P83" i="40" s="1"/>
  <c r="P77" i="40"/>
  <c r="P94" i="40"/>
  <c r="P93" i="40" s="1"/>
  <c r="K23" i="21" l="1"/>
  <c r="K30" i="21" s="1"/>
  <c r="K62" i="21" s="1"/>
  <c r="K59" i="21" s="1"/>
  <c r="Q69" i="40"/>
  <c r="Q70" i="40"/>
  <c r="P99" i="40"/>
  <c r="Q102" i="40"/>
  <c r="Q103" i="40" s="1"/>
  <c r="Q101" i="40" s="1"/>
  <c r="P98" i="40"/>
  <c r="L51" i="21"/>
  <c r="L8" i="44" l="1"/>
  <c r="K24" i="21"/>
  <c r="Q106" i="40"/>
  <c r="Q92" i="40" s="1"/>
  <c r="Q36" i="40"/>
  <c r="Q68" i="40" s="1"/>
  <c r="K103" i="21" l="1"/>
  <c r="K90" i="21" s="1"/>
  <c r="K33" i="21"/>
  <c r="K68" i="21" s="1"/>
  <c r="K77" i="21" s="1"/>
  <c r="L16" i="44"/>
  <c r="K85" i="21"/>
  <c r="K86" i="21" s="1"/>
  <c r="L18" i="44"/>
  <c r="Q78" i="40"/>
  <c r="Q77" i="40"/>
  <c r="Q67" i="40"/>
  <c r="Q58" i="40" s="1"/>
  <c r="Q57" i="40" s="1"/>
  <c r="Q83" i="40" s="1"/>
  <c r="Q87" i="40"/>
  <c r="Q88" i="40" s="1"/>
  <c r="K95" i="21"/>
  <c r="K94" i="21"/>
  <c r="L61" i="44" s="1"/>
  <c r="K92" i="21" l="1"/>
  <c r="K93" i="21"/>
  <c r="K91" i="21" s="1"/>
  <c r="K69" i="21"/>
  <c r="K67" i="21" s="1"/>
  <c r="K58" i="21" s="1"/>
  <c r="K57" i="21" s="1"/>
  <c r="L6" i="44"/>
  <c r="K78" i="21"/>
  <c r="L10" i="44"/>
  <c r="Q95" i="40"/>
  <c r="Q97" i="40"/>
  <c r="Q94" i="40"/>
  <c r="R69" i="40"/>
  <c r="R70" i="40"/>
  <c r="Q96" i="40"/>
  <c r="K97" i="21" l="1"/>
  <c r="L58" i="44"/>
  <c r="L60" i="44"/>
  <c r="L59" i="44"/>
  <c r="L70" i="21"/>
  <c r="L5" i="44"/>
  <c r="K19" i="35"/>
  <c r="K96" i="21"/>
  <c r="L62" i="44" s="1"/>
  <c r="L100" i="21"/>
  <c r="L101" i="21" s="1"/>
  <c r="L99" i="21" s="1"/>
  <c r="Q93" i="40"/>
  <c r="R102" i="40" s="1"/>
  <c r="R103" i="40" s="1"/>
  <c r="R101" i="40" s="1"/>
  <c r="Q99" i="40" l="1"/>
  <c r="Q98" i="40"/>
  <c r="L36" i="21"/>
  <c r="R106" i="40"/>
  <c r="R92" i="40" s="1"/>
  <c r="R36" i="40"/>
  <c r="R68" i="40" s="1"/>
  <c r="M13" i="44" l="1"/>
  <c r="R78" i="40"/>
  <c r="R77" i="40"/>
  <c r="R67" i="40"/>
  <c r="R58" i="40" s="1"/>
  <c r="R57" i="40" s="1"/>
  <c r="R83" i="40" s="1"/>
  <c r="R87" i="40"/>
  <c r="R88" i="40" s="1"/>
  <c r="R95" i="40" s="1"/>
  <c r="M7" i="44" l="1"/>
  <c r="R94" i="40"/>
  <c r="R93" i="40" s="1"/>
  <c r="R96" i="40"/>
  <c r="R97" i="40"/>
  <c r="S70" i="40"/>
  <c r="S69" i="40"/>
  <c r="L13" i="21" l="1"/>
  <c r="L52" i="21"/>
  <c r="L60" i="21"/>
  <c r="L18" i="35"/>
  <c r="L50" i="21"/>
  <c r="L23" i="21" s="1"/>
  <c r="L30" i="21" s="1"/>
  <c r="L79" i="21"/>
  <c r="S102" i="40"/>
  <c r="S103" i="40" s="1"/>
  <c r="S101" i="40" s="1"/>
  <c r="S36" i="40" s="1"/>
  <c r="S68" i="40" s="1"/>
  <c r="R98" i="40"/>
  <c r="R99" i="40"/>
  <c r="S106" i="40" l="1"/>
  <c r="S92" i="40" s="1"/>
  <c r="S87" i="40" s="1"/>
  <c r="S88" i="40" s="1"/>
  <c r="L24" i="21"/>
  <c r="L62" i="21"/>
  <c r="M51" i="21"/>
  <c r="S67" i="40"/>
  <c r="S58" i="40" s="1"/>
  <c r="S57" i="40" s="1"/>
  <c r="S83" i="40" s="1"/>
  <c r="S77" i="40"/>
  <c r="S78" i="40"/>
  <c r="L59" i="21" l="1"/>
  <c r="M8" i="44"/>
  <c r="M16" i="44"/>
  <c r="L33" i="21"/>
  <c r="L103" i="21"/>
  <c r="L90" i="21" s="1"/>
  <c r="S95" i="40"/>
  <c r="S97" i="40"/>
  <c r="S96" i="40"/>
  <c r="S94" i="40"/>
  <c r="T70" i="40"/>
  <c r="T69" i="40"/>
  <c r="L85" i="21" l="1"/>
  <c r="L95" i="21" s="1"/>
  <c r="L68" i="21"/>
  <c r="L77" i="21" s="1"/>
  <c r="M18" i="44"/>
  <c r="S93" i="40"/>
  <c r="S98" i="40" s="1"/>
  <c r="L69" i="21"/>
  <c r="L94" i="21" l="1"/>
  <c r="L86" i="21"/>
  <c r="L93" i="21" s="1"/>
  <c r="L67" i="21"/>
  <c r="L58" i="21" s="1"/>
  <c r="L57" i="21" s="1"/>
  <c r="S99" i="40"/>
  <c r="M6" i="44"/>
  <c r="L78" i="21"/>
  <c r="M10" i="44"/>
  <c r="T102" i="40"/>
  <c r="T103" i="40" s="1"/>
  <c r="T101" i="40" s="1"/>
  <c r="T106" i="40" s="1"/>
  <c r="T92" i="40" s="1"/>
  <c r="T87" i="40" s="1"/>
  <c r="T97" i="40" s="1"/>
  <c r="L92" i="21"/>
  <c r="M61" i="44" l="1"/>
  <c r="M5" i="44"/>
  <c r="M70" i="21"/>
  <c r="L91" i="21"/>
  <c r="T36" i="40"/>
  <c r="L19" i="35"/>
  <c r="T96" i="40"/>
  <c r="T88" i="40"/>
  <c r="L96" i="21" l="1"/>
  <c r="M62" i="44" s="1"/>
  <c r="M58" i="44"/>
  <c r="M59" i="44"/>
  <c r="M60" i="44"/>
  <c r="T68" i="40"/>
  <c r="T78" i="40" s="1"/>
  <c r="L97" i="21"/>
  <c r="M100" i="21"/>
  <c r="M101" i="21" s="1"/>
  <c r="M99" i="21" s="1"/>
  <c r="M36" i="21" s="1"/>
  <c r="T94" i="40"/>
  <c r="T95" i="40"/>
  <c r="T67" i="40" l="1"/>
  <c r="T58" i="40" s="1"/>
  <c r="T57" i="40" s="1"/>
  <c r="T83" i="40" s="1"/>
  <c r="T77" i="40"/>
  <c r="H13" i="35" s="1"/>
  <c r="N13" i="44"/>
  <c r="T93" i="40"/>
  <c r="T98" i="40" s="1"/>
  <c r="U69" i="40" l="1"/>
  <c r="U70" i="40"/>
  <c r="M79" i="21"/>
  <c r="I13" i="35"/>
  <c r="K13" i="35" s="1"/>
  <c r="N7" i="44"/>
  <c r="T99" i="40"/>
  <c r="U102" i="40"/>
  <c r="U103" i="40" s="1"/>
  <c r="U101" i="40" s="1"/>
  <c r="U106" i="40" s="1"/>
  <c r="U92" i="40" s="1"/>
  <c r="U87" i="40" s="1"/>
  <c r="U96" i="40" s="1"/>
  <c r="M20" i="35"/>
  <c r="M13" i="21" l="1"/>
  <c r="M52" i="21"/>
  <c r="M60" i="21"/>
  <c r="M18" i="35"/>
  <c r="J12" i="35" s="1"/>
  <c r="N12" i="21"/>
  <c r="N79" i="21" s="1"/>
  <c r="M50" i="21"/>
  <c r="N50" i="21" s="1"/>
  <c r="U36" i="40"/>
  <c r="U68" i="40" s="1"/>
  <c r="U77" i="40" s="1"/>
  <c r="U88" i="40"/>
  <c r="U94" i="40" s="1"/>
  <c r="U97" i="40"/>
  <c r="N60" i="21"/>
  <c r="N52" i="21" l="1"/>
  <c r="O7" i="44"/>
  <c r="N13" i="21"/>
  <c r="M23" i="21"/>
  <c r="M24" i="21" s="1"/>
  <c r="O12" i="21"/>
  <c r="O79" i="21" s="1"/>
  <c r="U67" i="40"/>
  <c r="U58" i="40" s="1"/>
  <c r="U57" i="40" s="1"/>
  <c r="U83" i="40" s="1"/>
  <c r="U78" i="40"/>
  <c r="N16" i="44"/>
  <c r="U95" i="40"/>
  <c r="U93" i="40" s="1"/>
  <c r="V102" i="40" s="1"/>
  <c r="V103" i="40" s="1"/>
  <c r="V101" i="40" s="1"/>
  <c r="M103" i="21" l="1"/>
  <c r="O60" i="21"/>
  <c r="O52" i="21"/>
  <c r="M33" i="21"/>
  <c r="M69" i="21" s="1"/>
  <c r="P7" i="44"/>
  <c r="P12" i="21"/>
  <c r="P79" i="21" s="1"/>
  <c r="M30" i="21"/>
  <c r="O51" i="21" s="1"/>
  <c r="O13" i="21"/>
  <c r="O50" i="21"/>
  <c r="P50" i="21" s="1"/>
  <c r="V70" i="40"/>
  <c r="V69" i="40"/>
  <c r="N51" i="21"/>
  <c r="N23" i="21" s="1"/>
  <c r="M68" i="21"/>
  <c r="N18" i="44"/>
  <c r="U98" i="40"/>
  <c r="U99" i="40"/>
  <c r="V36" i="40"/>
  <c r="V68" i="40" s="1"/>
  <c r="V106" i="40"/>
  <c r="M62" i="21" l="1"/>
  <c r="M59" i="21" s="1"/>
  <c r="M77" i="21" s="1"/>
  <c r="Q12" i="21"/>
  <c r="Q79" i="21" s="1"/>
  <c r="Q7" i="44"/>
  <c r="P13" i="21"/>
  <c r="O23" i="21"/>
  <c r="O24" i="21" s="1"/>
  <c r="M67" i="21"/>
  <c r="N30" i="21"/>
  <c r="N62" i="21" s="1"/>
  <c r="O8" i="44" s="1"/>
  <c r="N24" i="21"/>
  <c r="Q50" i="21"/>
  <c r="N8" i="44"/>
  <c r="R7" i="44"/>
  <c r="M78" i="21"/>
  <c r="N10" i="44"/>
  <c r="Q13" i="21"/>
  <c r="M90" i="21"/>
  <c r="V92" i="40"/>
  <c r="V78" i="40"/>
  <c r="V67" i="40"/>
  <c r="V58" i="40" s="1"/>
  <c r="V57" i="40" s="1"/>
  <c r="V77" i="40"/>
  <c r="R12" i="21" l="1"/>
  <c r="R79" i="21" s="1"/>
  <c r="O30" i="21"/>
  <c r="O16" i="44"/>
  <c r="N33" i="21"/>
  <c r="O18" i="44" s="1"/>
  <c r="N59" i="21"/>
  <c r="M58" i="21"/>
  <c r="M57" i="21" s="1"/>
  <c r="S7" i="44"/>
  <c r="M85" i="21"/>
  <c r="M86" i="21" s="1"/>
  <c r="M93" i="21" s="1"/>
  <c r="S12" i="21"/>
  <c r="S79" i="21" s="1"/>
  <c r="R13" i="21"/>
  <c r="M19" i="35"/>
  <c r="P16" i="44"/>
  <c r="N6" i="44"/>
  <c r="V83" i="40"/>
  <c r="V87" i="40"/>
  <c r="V88" i="40" s="1"/>
  <c r="V95" i="40" s="1"/>
  <c r="W69" i="40"/>
  <c r="W70" i="40"/>
  <c r="O62" i="21"/>
  <c r="P51" i="21"/>
  <c r="O33" i="21"/>
  <c r="P18" i="44" s="1"/>
  <c r="R50" i="21" l="1"/>
  <c r="T12" i="21"/>
  <c r="T79" i="21" s="1"/>
  <c r="N70" i="21"/>
  <c r="M94" i="21"/>
  <c r="M95" i="21"/>
  <c r="S50" i="21"/>
  <c r="N5" i="44"/>
  <c r="M92" i="21"/>
  <c r="N69" i="21"/>
  <c r="S13" i="21"/>
  <c r="T7" i="44"/>
  <c r="O59" i="21"/>
  <c r="P8" i="44"/>
  <c r="V96" i="40"/>
  <c r="V94" i="40"/>
  <c r="V93" i="40" s="1"/>
  <c r="V97" i="40"/>
  <c r="N61" i="44" l="1"/>
  <c r="U7" i="44"/>
  <c r="T13" i="21"/>
  <c r="U12" i="21"/>
  <c r="U79" i="21" s="1"/>
  <c r="T50" i="21"/>
  <c r="M91" i="21"/>
  <c r="V99" i="40"/>
  <c r="W102" i="40"/>
  <c r="W103" i="40" s="1"/>
  <c r="W101" i="40" s="1"/>
  <c r="V98" i="40"/>
  <c r="U13" i="21" l="1"/>
  <c r="V12" i="21"/>
  <c r="V79" i="21" s="1"/>
  <c r="V7" i="44"/>
  <c r="M97" i="21"/>
  <c r="N58" i="44"/>
  <c r="U50" i="21"/>
  <c r="N60" i="44"/>
  <c r="M96" i="21"/>
  <c r="N62" i="44" s="1"/>
  <c r="N59" i="44"/>
  <c r="N100" i="21"/>
  <c r="N101" i="21" s="1"/>
  <c r="N99" i="21" s="1"/>
  <c r="N103" i="21" s="1"/>
  <c r="N90" i="21" s="1"/>
  <c r="W36" i="40"/>
  <c r="W106" i="40"/>
  <c r="W92" i="40" s="1"/>
  <c r="W87" i="40" s="1"/>
  <c r="W96" i="40" s="1"/>
  <c r="P52" i="21"/>
  <c r="P60" i="21"/>
  <c r="V13" i="21" l="1"/>
  <c r="W12" i="21"/>
  <c r="W79" i="21" s="1"/>
  <c r="W7" i="44"/>
  <c r="V50" i="21"/>
  <c r="N85" i="21"/>
  <c r="N95" i="21" s="1"/>
  <c r="N36" i="21"/>
  <c r="W68" i="40"/>
  <c r="W67" i="40" s="1"/>
  <c r="W58" i="40" s="1"/>
  <c r="W57" i="40" s="1"/>
  <c r="W83" i="40" s="1"/>
  <c r="W88" i="40"/>
  <c r="W95" i="40" s="1"/>
  <c r="W97" i="40"/>
  <c r="P23" i="21"/>
  <c r="X7" i="44" l="1"/>
  <c r="W13" i="21"/>
  <c r="W50" i="21"/>
  <c r="O13" i="44"/>
  <c r="N68" i="21"/>
  <c r="N67" i="21" s="1"/>
  <c r="N58" i="21" s="1"/>
  <c r="N57" i="21" s="1"/>
  <c r="N94" i="21"/>
  <c r="N86" i="21"/>
  <c r="N93" i="21" s="1"/>
  <c r="W77" i="40"/>
  <c r="W78" i="40"/>
  <c r="W94" i="40"/>
  <c r="P24" i="21"/>
  <c r="P30" i="21"/>
  <c r="O10" i="44" l="1"/>
  <c r="N77" i="21"/>
  <c r="N78" i="21"/>
  <c r="N92" i="21"/>
  <c r="O5" i="44"/>
  <c r="O69" i="21"/>
  <c r="O70" i="21"/>
  <c r="Q16" i="44"/>
  <c r="W93" i="40"/>
  <c r="W99" i="40" s="1"/>
  <c r="P62" i="21"/>
  <c r="Q51" i="21"/>
  <c r="P33" i="21"/>
  <c r="Q18" i="44" s="1"/>
  <c r="O6" i="44" l="1"/>
  <c r="O61" i="44"/>
  <c r="N91" i="21"/>
  <c r="P59" i="21"/>
  <c r="Q8" i="44"/>
  <c r="W98" i="40"/>
  <c r="O59" i="44" l="1"/>
  <c r="O58" i="44"/>
  <c r="O60" i="44"/>
  <c r="N96" i="21"/>
  <c r="O62" i="44" s="1"/>
  <c r="O100" i="21"/>
  <c r="O101" i="21" s="1"/>
  <c r="O99" i="21" s="1"/>
  <c r="N97" i="21"/>
  <c r="O36" i="21" l="1"/>
  <c r="O103" i="21"/>
  <c r="O90" i="21" s="1"/>
  <c r="Q60" i="21"/>
  <c r="Q52" i="21"/>
  <c r="O85" i="21" l="1"/>
  <c r="O94" i="21" s="1"/>
  <c r="O68" i="21"/>
  <c r="P13" i="44"/>
  <c r="Q23" i="21"/>
  <c r="P10" i="44" l="1"/>
  <c r="O67" i="21"/>
  <c r="O58" i="21" s="1"/>
  <c r="O57" i="21" s="1"/>
  <c r="O78" i="21"/>
  <c r="O77" i="21"/>
  <c r="O95" i="21"/>
  <c r="O86" i="21"/>
  <c r="Q30" i="21"/>
  <c r="Q24" i="21"/>
  <c r="O92" i="21" l="1"/>
  <c r="O93" i="21"/>
  <c r="P6" i="44"/>
  <c r="P69" i="21"/>
  <c r="P70" i="21"/>
  <c r="P5" i="44"/>
  <c r="R16" i="44"/>
  <c r="Q62" i="21"/>
  <c r="R51" i="21"/>
  <c r="Q33" i="21"/>
  <c r="R18" i="44" s="1"/>
  <c r="P61" i="44" l="1"/>
  <c r="O91" i="21"/>
  <c r="Q59" i="21"/>
  <c r="R8" i="44"/>
  <c r="O96" i="21" l="1"/>
  <c r="P62" i="44" s="1"/>
  <c r="P58" i="44"/>
  <c r="P60" i="44"/>
  <c r="P59" i="44"/>
  <c r="P100" i="21"/>
  <c r="P101" i="21" s="1"/>
  <c r="P99" i="21" s="1"/>
  <c r="P103" i="21" s="1"/>
  <c r="P90" i="21" s="1"/>
  <c r="O97" i="21"/>
  <c r="P36" i="21" l="1"/>
  <c r="P85" i="21"/>
  <c r="P95" i="21" s="1"/>
  <c r="R52" i="21"/>
  <c r="R60" i="21"/>
  <c r="Q13" i="44" l="1"/>
  <c r="P68" i="21"/>
  <c r="P67" i="21" s="1"/>
  <c r="P58" i="21" s="1"/>
  <c r="P57" i="21" s="1"/>
  <c r="P94" i="21"/>
  <c r="P86" i="21"/>
  <c r="P92" i="21" s="1"/>
  <c r="R23" i="21"/>
  <c r="Q10" i="44" l="1"/>
  <c r="P78" i="21"/>
  <c r="P77" i="21"/>
  <c r="P93" i="21"/>
  <c r="Q61" i="44" s="1"/>
  <c r="Q69" i="21"/>
  <c r="Q5" i="44"/>
  <c r="Q70" i="21"/>
  <c r="R24" i="21"/>
  <c r="R30" i="21"/>
  <c r="Q6" i="44" l="1"/>
  <c r="P91" i="21"/>
  <c r="S16" i="44"/>
  <c r="R62" i="21"/>
  <c r="S51" i="21"/>
  <c r="R33" i="21"/>
  <c r="S18" i="44" s="1"/>
  <c r="Q60" i="44" l="1"/>
  <c r="Q58" i="44"/>
  <c r="Q59" i="44"/>
  <c r="Q100" i="21"/>
  <c r="Q101" i="21" s="1"/>
  <c r="Q99" i="21" s="1"/>
  <c r="Q103" i="21" s="1"/>
  <c r="Q90" i="21" s="1"/>
  <c r="P96" i="21"/>
  <c r="Q62" i="44" s="1"/>
  <c r="P97" i="21"/>
  <c r="R59" i="21"/>
  <c r="S8" i="44"/>
  <c r="Q36" i="21" l="1"/>
  <c r="Q85" i="21"/>
  <c r="R13" i="44" l="1"/>
  <c r="Q68" i="21"/>
  <c r="Q78" i="21" s="1"/>
  <c r="Q95" i="21"/>
  <c r="Q94" i="21"/>
  <c r="Q86" i="21"/>
  <c r="Q93" i="21" s="1"/>
  <c r="R10" i="44"/>
  <c r="Q67" i="21"/>
  <c r="Q58" i="21" s="1"/>
  <c r="Q57" i="21" s="1"/>
  <c r="S52" i="21"/>
  <c r="S60" i="21"/>
  <c r="Q77" i="21" l="1"/>
  <c r="Q92" i="21"/>
  <c r="R70" i="21"/>
  <c r="R5" i="44"/>
  <c r="R69" i="21"/>
  <c r="S23" i="21"/>
  <c r="R6" i="44" l="1"/>
  <c r="R61" i="44"/>
  <c r="Q91" i="21"/>
  <c r="S30" i="21"/>
  <c r="S24" i="21"/>
  <c r="R59" i="44" l="1"/>
  <c r="R58" i="44"/>
  <c r="R60" i="44"/>
  <c r="R100" i="21"/>
  <c r="R101" i="21" s="1"/>
  <c r="R99" i="21" s="1"/>
  <c r="Q96" i="21"/>
  <c r="R62" i="44" s="1"/>
  <c r="Q97" i="21"/>
  <c r="T16" i="44"/>
  <c r="S62" i="21"/>
  <c r="T51" i="21"/>
  <c r="S33" i="21"/>
  <c r="T18" i="44" s="1"/>
  <c r="R103" i="21" l="1"/>
  <c r="R90" i="21" s="1"/>
  <c r="R36" i="21"/>
  <c r="S59" i="21"/>
  <c r="T8" i="44"/>
  <c r="S13" i="44" l="1"/>
  <c r="R68" i="21"/>
  <c r="R85" i="21"/>
  <c r="R86" i="21" l="1"/>
  <c r="R93" i="21" s="1"/>
  <c r="R94" i="21"/>
  <c r="S10" i="44"/>
  <c r="R78" i="21"/>
  <c r="R77" i="21"/>
  <c r="R67" i="21"/>
  <c r="R58" i="21" s="1"/>
  <c r="R57" i="21" s="1"/>
  <c r="R95" i="21"/>
  <c r="T52" i="21"/>
  <c r="T60" i="21"/>
  <c r="R92" i="21" l="1"/>
  <c r="S60" i="44" s="1"/>
  <c r="S61" i="44"/>
  <c r="S6" i="44"/>
  <c r="S70" i="21"/>
  <c r="S5" i="44"/>
  <c r="S69" i="21"/>
  <c r="T23" i="21"/>
  <c r="R91" i="21" l="1"/>
  <c r="T24" i="21"/>
  <c r="T30" i="21"/>
  <c r="R97" i="21" l="1"/>
  <c r="S58" i="44"/>
  <c r="S59" i="44"/>
  <c r="R96" i="21"/>
  <c r="S62" i="44" s="1"/>
  <c r="S100" i="21"/>
  <c r="S101" i="21" s="1"/>
  <c r="S99" i="21" s="1"/>
  <c r="S36" i="21" s="1"/>
  <c r="U16" i="44"/>
  <c r="T62" i="21"/>
  <c r="U51" i="21"/>
  <c r="T33" i="21"/>
  <c r="S68" i="21" l="1"/>
  <c r="S67" i="21" s="1"/>
  <c r="S58" i="21" s="1"/>
  <c r="S57" i="21" s="1"/>
  <c r="T69" i="21" s="1"/>
  <c r="T13" i="44"/>
  <c r="S103" i="21"/>
  <c r="S90" i="21" s="1"/>
  <c r="T10" i="44"/>
  <c r="T59" i="21"/>
  <c r="U8" i="44"/>
  <c r="U18" i="44"/>
  <c r="S77" i="21" l="1"/>
  <c r="T6" i="44" s="1"/>
  <c r="S78" i="21"/>
  <c r="S85" i="21"/>
  <c r="S86" i="21" s="1"/>
  <c r="S93" i="21" s="1"/>
  <c r="T70" i="21"/>
  <c r="T5" i="44"/>
  <c r="S92" i="21" l="1"/>
  <c r="S91" i="21" s="1"/>
  <c r="T58" i="44" s="1"/>
  <c r="S95" i="21"/>
  <c r="S94" i="21"/>
  <c r="T61" i="44" s="1"/>
  <c r="T60" i="44"/>
  <c r="U60" i="21"/>
  <c r="U52" i="21"/>
  <c r="T59" i="44" l="1"/>
  <c r="S97" i="21"/>
  <c r="T100" i="21"/>
  <c r="T101" i="21" s="1"/>
  <c r="T99" i="21" s="1"/>
  <c r="T62" i="44"/>
  <c r="S96" i="21"/>
  <c r="U23" i="21"/>
  <c r="T103" i="21" l="1"/>
  <c r="T90" i="21" s="1"/>
  <c r="T85" i="21" s="1"/>
  <c r="T86" i="21" s="1"/>
  <c r="T36" i="21"/>
  <c r="U13" i="44"/>
  <c r="U30" i="21"/>
  <c r="U24" i="21"/>
  <c r="T68" i="21" l="1"/>
  <c r="T67" i="21" s="1"/>
  <c r="T58" i="21" s="1"/>
  <c r="T57" i="21" s="1"/>
  <c r="T93" i="21"/>
  <c r="T94" i="21"/>
  <c r="U61" i="44" s="1"/>
  <c r="T92" i="21"/>
  <c r="T95" i="21"/>
  <c r="U10" i="44"/>
  <c r="V16" i="44"/>
  <c r="U62" i="21"/>
  <c r="V51" i="21"/>
  <c r="U33" i="21"/>
  <c r="T77" i="21" l="1"/>
  <c r="T78" i="21"/>
  <c r="H12" i="35"/>
  <c r="T91" i="21"/>
  <c r="T96" i="21" s="1"/>
  <c r="U62" i="44" s="1"/>
  <c r="U6" i="44"/>
  <c r="U60" i="44"/>
  <c r="U70" i="21"/>
  <c r="U5" i="44"/>
  <c r="V18" i="44"/>
  <c r="U59" i="21"/>
  <c r="V8" i="44"/>
  <c r="U69" i="21"/>
  <c r="U100" i="21" l="1"/>
  <c r="U101" i="21" s="1"/>
  <c r="U99" i="21" s="1"/>
  <c r="T97" i="21"/>
  <c r="U59" i="44"/>
  <c r="U58" i="44"/>
  <c r="U36" i="21"/>
  <c r="U103" i="21"/>
  <c r="U90" i="21" s="1"/>
  <c r="U85" i="21" s="1"/>
  <c r="U86" i="21" s="1"/>
  <c r="U92" i="21" s="1"/>
  <c r="V13" i="44" l="1"/>
  <c r="U68" i="21"/>
  <c r="U93" i="21"/>
  <c r="U91" i="21" s="1"/>
  <c r="V59" i="44" s="1"/>
  <c r="U95" i="21"/>
  <c r="U94" i="21"/>
  <c r="V52" i="21"/>
  <c r="V60" i="21"/>
  <c r="V58" i="44" l="1"/>
  <c r="V61" i="44"/>
  <c r="V10" i="44"/>
  <c r="U78" i="21"/>
  <c r="U77" i="21"/>
  <c r="U67" i="21"/>
  <c r="U58" i="21" s="1"/>
  <c r="U57" i="21" s="1"/>
  <c r="V60" i="44"/>
  <c r="V100" i="21"/>
  <c r="V101" i="21" s="1"/>
  <c r="U97" i="21"/>
  <c r="V23" i="21"/>
  <c r="U96" i="21"/>
  <c r="V62" i="44" s="1"/>
  <c r="V70" i="21" l="1"/>
  <c r="V5" i="44"/>
  <c r="V6" i="44"/>
  <c r="V99" i="21"/>
  <c r="V24" i="21"/>
  <c r="V30" i="21"/>
  <c r="V36" i="21" l="1"/>
  <c r="W16" i="44"/>
  <c r="V103" i="21"/>
  <c r="V62" i="21"/>
  <c r="W51" i="21"/>
  <c r="V33" i="21"/>
  <c r="W13" i="44" l="1"/>
  <c r="V68" i="21"/>
  <c r="W10" i="44" s="1"/>
  <c r="W18" i="44"/>
  <c r="V59" i="21"/>
  <c r="W8" i="44"/>
  <c r="V90" i="21"/>
  <c r="V69" i="21"/>
  <c r="V67" i="21" l="1"/>
  <c r="V78" i="21"/>
  <c r="V77" i="21"/>
  <c r="V58" i="21"/>
  <c r="V57" i="21" s="1"/>
  <c r="W5" i="44" s="1"/>
  <c r="V85" i="21"/>
  <c r="V86" i="21" s="1"/>
  <c r="V93" i="21" s="1"/>
  <c r="W6" i="44" l="1"/>
  <c r="W70" i="21"/>
  <c r="V94" i="21"/>
  <c r="V95" i="21"/>
  <c r="V92" i="21"/>
  <c r="W60" i="21"/>
  <c r="W52" i="21"/>
  <c r="W61" i="44" l="1"/>
  <c r="V91" i="21"/>
  <c r="W23" i="21"/>
  <c r="W30" i="21" s="1"/>
  <c r="W62" i="21" s="1"/>
  <c r="X8" i="44" s="1"/>
  <c r="V96" i="21" l="1"/>
  <c r="W62" i="44" s="1"/>
  <c r="W58" i="44"/>
  <c r="W100" i="21"/>
  <c r="W101" i="21" s="1"/>
  <c r="W99" i="21" s="1"/>
  <c r="W60" i="44"/>
  <c r="W59" i="44"/>
  <c r="V97" i="21"/>
  <c r="W24" i="21"/>
  <c r="W59" i="21"/>
  <c r="W36" i="21" l="1"/>
  <c r="X16" i="44"/>
  <c r="W103" i="21"/>
  <c r="W90" i="21" s="1"/>
  <c r="W33" i="21"/>
  <c r="X13" i="44" l="1"/>
  <c r="W85" i="21"/>
  <c r="W86" i="21" s="1"/>
  <c r="W93" i="21" s="1"/>
  <c r="W68" i="21"/>
  <c r="W77" i="21" s="1"/>
  <c r="X18" i="44"/>
  <c r="W69" i="21"/>
  <c r="W95" i="21" l="1"/>
  <c r="W92" i="21"/>
  <c r="W91" i="21" s="1"/>
  <c r="W94" i="21"/>
  <c r="X61" i="44" s="1"/>
  <c r="W67" i="21"/>
  <c r="W58" i="21" s="1"/>
  <c r="W57" i="21" s="1"/>
  <c r="I12" i="35" s="1"/>
  <c r="K12" i="35" s="1"/>
  <c r="X6" i="44"/>
  <c r="W78" i="21"/>
  <c r="X10" i="44"/>
  <c r="X5" i="44" l="1"/>
  <c r="W97" i="21"/>
  <c r="X58" i="44"/>
  <c r="X60" i="44"/>
  <c r="X59" i="44"/>
  <c r="W96" i="21"/>
  <c r="X62" i="44" s="1"/>
  <c r="H96" i="9" l="1"/>
  <c r="H101" i="9" s="1"/>
  <c r="H87" i="9" s="1"/>
  <c r="H35" i="9" l="1"/>
  <c r="H67" i="9" l="1"/>
  <c r="H77" i="9" s="1"/>
  <c r="I48" i="44"/>
  <c r="H83" i="9"/>
  <c r="H84" i="9" s="1"/>
  <c r="H90" i="9" s="1"/>
  <c r="H91" i="9" l="1"/>
  <c r="H66" i="9"/>
  <c r="H57" i="9" s="1"/>
  <c r="H56" i="9" s="1"/>
  <c r="I41" i="44" s="1"/>
  <c r="H92" i="9"/>
  <c r="H76" i="9"/>
  <c r="I42" i="44" s="1"/>
  <c r="I45" i="44"/>
  <c r="H89" i="9"/>
  <c r="H88" i="9" s="1"/>
  <c r="H94" i="9" l="1"/>
  <c r="I68" i="9"/>
  <c r="I69" i="9"/>
  <c r="H93" i="9"/>
  <c r="I97" i="9"/>
  <c r="I98" i="9" s="1"/>
  <c r="I96" i="9" l="1"/>
  <c r="I101" i="9" l="1"/>
  <c r="I87" i="9" s="1"/>
  <c r="I35" i="9"/>
  <c r="I67" i="9" l="1"/>
  <c r="J45" i="44" s="1"/>
  <c r="J48" i="44"/>
  <c r="I83" i="9"/>
  <c r="I84" i="9" s="1"/>
  <c r="I89" i="9" s="1"/>
  <c r="I77" i="9" l="1"/>
  <c r="I76" i="9"/>
  <c r="J42" i="44" s="1"/>
  <c r="I66" i="9"/>
  <c r="I57" i="9" s="1"/>
  <c r="I56" i="9" s="1"/>
  <c r="J68" i="9" s="1"/>
  <c r="I90" i="9"/>
  <c r="I88" i="9" s="1"/>
  <c r="I92" i="9"/>
  <c r="I91" i="9"/>
  <c r="J41" i="44"/>
  <c r="J69" i="9" l="1"/>
  <c r="J97" i="9"/>
  <c r="J98" i="9" s="1"/>
  <c r="J96" i="9" s="1"/>
  <c r="J101" i="9" s="1"/>
  <c r="J87" i="9" s="1"/>
  <c r="I94" i="9"/>
  <c r="I93" i="9"/>
  <c r="J35" i="9" l="1"/>
  <c r="J67" i="9" s="1"/>
  <c r="J77" i="9" s="1"/>
  <c r="J83" i="9"/>
  <c r="J84" i="9" s="1"/>
  <c r="J90" i="9" s="1"/>
  <c r="K48" i="44" l="1"/>
  <c r="J66" i="9"/>
  <c r="J57" i="9" s="1"/>
  <c r="J56" i="9" s="1"/>
  <c r="K41" i="44" s="1"/>
  <c r="J76" i="9"/>
  <c r="K42" i="44" s="1"/>
  <c r="K45" i="44"/>
  <c r="J92" i="9"/>
  <c r="J89" i="9"/>
  <c r="J88" i="9" s="1"/>
  <c r="J91" i="9"/>
  <c r="K69" i="9"/>
  <c r="K68" i="9" l="1"/>
  <c r="K97" i="9"/>
  <c r="K98" i="9" s="1"/>
  <c r="K96" i="9" s="1"/>
  <c r="J93" i="9"/>
  <c r="J94" i="9"/>
  <c r="K101" i="9" l="1"/>
  <c r="K87" i="9" s="1"/>
  <c r="K35" i="9"/>
  <c r="K67" i="9" l="1"/>
  <c r="K77" i="9" s="1"/>
  <c r="L48" i="44"/>
  <c r="K83" i="9"/>
  <c r="K84" i="9" s="1"/>
  <c r="K89" i="9" s="1"/>
  <c r="K66" i="9"/>
  <c r="K57" i="9" s="1"/>
  <c r="K56" i="9" s="1"/>
  <c r="L41" i="44" s="1"/>
  <c r="K76" i="9" l="1"/>
  <c r="L42" i="44" s="1"/>
  <c r="L45" i="44"/>
  <c r="K92" i="9"/>
  <c r="K91" i="9"/>
  <c r="K90" i="9"/>
  <c r="K88" i="9" s="1"/>
  <c r="L68" i="9"/>
  <c r="L69" i="9"/>
  <c r="L97" i="9" l="1"/>
  <c r="L98" i="9" s="1"/>
  <c r="L96" i="9" s="1"/>
  <c r="L101" i="9" s="1"/>
  <c r="L87" i="9" s="1"/>
  <c r="K94" i="9"/>
  <c r="K93" i="9"/>
  <c r="L35" i="9" l="1"/>
  <c r="L67" i="9" l="1"/>
  <c r="L77" i="9" s="1"/>
  <c r="M48" i="44"/>
  <c r="L83" i="9"/>
  <c r="L84" i="9" s="1"/>
  <c r="L66" i="9" l="1"/>
  <c r="L57" i="9" s="1"/>
  <c r="L56" i="9" s="1"/>
  <c r="M41" i="44" s="1"/>
  <c r="L76" i="9"/>
  <c r="M42" i="44" s="1"/>
  <c r="M45" i="44"/>
  <c r="L92" i="9"/>
  <c r="L90" i="9"/>
  <c r="L89" i="9"/>
  <c r="L91" i="9"/>
  <c r="M68" i="9" l="1"/>
  <c r="M69" i="9"/>
  <c r="L88" i="9"/>
  <c r="L94" i="9" s="1"/>
  <c r="L93" i="9" l="1"/>
  <c r="M97" i="9"/>
  <c r="M98" i="9" s="1"/>
  <c r="M96" i="9" s="1"/>
  <c r="M101" i="9" l="1"/>
  <c r="M87" i="9" s="1"/>
  <c r="M35" i="9"/>
  <c r="M67" i="9" l="1"/>
  <c r="M77" i="9" s="1"/>
  <c r="N48" i="44"/>
  <c r="M83" i="9"/>
  <c r="M84" i="9" s="1"/>
  <c r="M89" i="9" s="1"/>
  <c r="M66" i="9" l="1"/>
  <c r="M57" i="9" s="1"/>
  <c r="M56" i="9" s="1"/>
  <c r="M76" i="9"/>
  <c r="N42" i="44" s="1"/>
  <c r="N45" i="44"/>
  <c r="M92" i="9"/>
  <c r="M91" i="9"/>
  <c r="M90" i="9"/>
  <c r="M88" i="9" s="1"/>
  <c r="N69" i="9"/>
  <c r="N68" i="9"/>
  <c r="N41" i="44" l="1"/>
  <c r="N97" i="9"/>
  <c r="N98" i="9" s="1"/>
  <c r="M94" i="9"/>
  <c r="M93" i="9"/>
  <c r="N96" i="9" l="1"/>
  <c r="N101" i="9" s="1"/>
  <c r="N87" i="9" s="1"/>
  <c r="N35" i="9" l="1"/>
  <c r="N67" i="9" l="1"/>
  <c r="O45" i="44" s="1"/>
  <c r="O48" i="44"/>
  <c r="N83" i="9"/>
  <c r="N66" i="9" l="1"/>
  <c r="N57" i="9" s="1"/>
  <c r="N56" i="9" s="1"/>
  <c r="N77" i="9"/>
  <c r="N76" i="9"/>
  <c r="O42" i="44" s="1"/>
  <c r="N92" i="9"/>
  <c r="N91" i="9"/>
  <c r="N84" i="9"/>
  <c r="N90" i="9" s="1"/>
  <c r="O41" i="44" l="1"/>
  <c r="O69" i="9"/>
  <c r="O68" i="9"/>
  <c r="N89" i="9"/>
  <c r="N88" i="9" l="1"/>
  <c r="N94" i="9" s="1"/>
  <c r="O97" i="9" l="1"/>
  <c r="O98" i="9" s="1"/>
  <c r="O96" i="9" s="1"/>
  <c r="N93" i="9"/>
  <c r="O35" i="9" l="1"/>
  <c r="O101" i="9"/>
  <c r="O87" i="9" s="1"/>
  <c r="O67" i="9" l="1"/>
  <c r="O66" i="9" s="1"/>
  <c r="O57" i="9" s="1"/>
  <c r="O56" i="9" s="1"/>
  <c r="P69" i="9" s="1"/>
  <c r="P48" i="44"/>
  <c r="O83" i="9"/>
  <c r="O84" i="9" s="1"/>
  <c r="O76" i="9" l="1"/>
  <c r="P42" i="44" s="1"/>
  <c r="P41" i="44"/>
  <c r="O77" i="9"/>
  <c r="P45" i="44"/>
  <c r="P68" i="9"/>
  <c r="O92" i="9"/>
  <c r="O89" i="9"/>
  <c r="O91" i="9"/>
  <c r="O90" i="9"/>
  <c r="O88" i="9" l="1"/>
  <c r="O94" i="9" s="1"/>
  <c r="O93" i="9" l="1"/>
  <c r="P97" i="9"/>
  <c r="P98" i="9" s="1"/>
  <c r="P96" i="9" s="1"/>
  <c r="P101" i="9" s="1"/>
  <c r="P87" i="9" s="1"/>
  <c r="P35" i="9" l="1"/>
  <c r="P83" i="9"/>
  <c r="P84" i="9" s="1"/>
  <c r="P90" i="9" s="1"/>
  <c r="P67" i="9" l="1"/>
  <c r="P66" i="9" s="1"/>
  <c r="P57" i="9" s="1"/>
  <c r="P56" i="9" s="1"/>
  <c r="Q48" i="44"/>
  <c r="P91" i="9"/>
  <c r="P92" i="9"/>
  <c r="P89" i="9"/>
  <c r="P88" i="9" s="1"/>
  <c r="P77" i="9" l="1"/>
  <c r="Q68" i="9"/>
  <c r="Q41" i="44"/>
  <c r="P76" i="9"/>
  <c r="Q42" i="44" s="1"/>
  <c r="Q45" i="44"/>
  <c r="Q69" i="9"/>
  <c r="P94" i="9"/>
  <c r="P93" i="9"/>
  <c r="Q97" i="9"/>
  <c r="Q98" i="9" s="1"/>
  <c r="Q96" i="9" s="1"/>
  <c r="Q101" i="9" s="1"/>
  <c r="Q87" i="9" s="1"/>
  <c r="Q35" i="9" l="1"/>
  <c r="Q67" i="9" l="1"/>
  <c r="R45" i="44" s="1"/>
  <c r="R48" i="44"/>
  <c r="Q83" i="9"/>
  <c r="Q84" i="9" s="1"/>
  <c r="Q76" i="9" l="1"/>
  <c r="R42" i="44" s="1"/>
  <c r="Q66" i="9"/>
  <c r="Q57" i="9" s="1"/>
  <c r="Q56" i="9" s="1"/>
  <c r="Q77" i="9"/>
  <c r="Q90" i="9"/>
  <c r="Q91" i="9"/>
  <c r="Q92" i="9"/>
  <c r="Q89" i="9"/>
  <c r="R69" i="9" l="1"/>
  <c r="R41" i="44"/>
  <c r="R68" i="9"/>
  <c r="Q88" i="9"/>
  <c r="Q93" i="9" s="1"/>
  <c r="Q94" i="9" l="1"/>
  <c r="R97" i="9"/>
  <c r="R98" i="9" s="1"/>
  <c r="R96" i="9" s="1"/>
  <c r="R101" i="9" s="1"/>
  <c r="R87" i="9" s="1"/>
  <c r="R35" i="9" l="1"/>
  <c r="R67" i="9" l="1"/>
  <c r="S45" i="44" s="1"/>
  <c r="S48" i="44"/>
  <c r="R83" i="9"/>
  <c r="R84" i="9" s="1"/>
  <c r="R77" i="9" l="1"/>
  <c r="R76" i="9"/>
  <c r="S42" i="44" s="1"/>
  <c r="R66" i="9"/>
  <c r="R57" i="9" s="1"/>
  <c r="R56" i="9" s="1"/>
  <c r="S41" i="44"/>
  <c r="R92" i="9"/>
  <c r="R90" i="9"/>
  <c r="R91" i="9"/>
  <c r="R89" i="9"/>
  <c r="S68" i="9" l="1"/>
  <c r="S69" i="9"/>
  <c r="R88" i="9"/>
  <c r="R94" i="9" s="1"/>
  <c r="S97" i="9" l="1"/>
  <c r="S98" i="9" s="1"/>
  <c r="S96" i="9" s="1"/>
  <c r="R93" i="9"/>
  <c r="S35" i="9" l="1"/>
  <c r="S101" i="9"/>
  <c r="S87" i="9" s="1"/>
  <c r="S67" i="9" l="1"/>
  <c r="S76" i="9" s="1"/>
  <c r="T42" i="44" s="1"/>
  <c r="T48" i="44"/>
  <c r="S83" i="9"/>
  <c r="S84" i="9" s="1"/>
  <c r="S77" i="9" l="1"/>
  <c r="S66" i="9"/>
  <c r="S57" i="9" s="1"/>
  <c r="S56" i="9" s="1"/>
  <c r="T45" i="44"/>
  <c r="S89" i="9"/>
  <c r="S92" i="9"/>
  <c r="S91" i="9"/>
  <c r="S90" i="9"/>
  <c r="T41" i="44" l="1"/>
  <c r="T68" i="9"/>
  <c r="T69" i="9"/>
  <c r="S88" i="9"/>
  <c r="S94" i="9" s="1"/>
  <c r="S93" i="9" l="1"/>
  <c r="T97" i="9"/>
  <c r="T98" i="9" s="1"/>
  <c r="T96" i="9" s="1"/>
  <c r="T35" i="9" s="1"/>
  <c r="T67" i="9" l="1"/>
  <c r="T66" i="9" s="1"/>
  <c r="T57" i="9" s="1"/>
  <c r="T56" i="9" s="1"/>
  <c r="U48" i="44"/>
  <c r="T101" i="9"/>
  <c r="T87" i="9" s="1"/>
  <c r="T77" i="9" l="1"/>
  <c r="T83" i="9"/>
  <c r="T84" i="9" s="1"/>
  <c r="T90" i="9" s="1"/>
  <c r="U41" i="44"/>
  <c r="T76" i="9"/>
  <c r="U42" i="44" s="1"/>
  <c r="U45" i="44"/>
  <c r="U69" i="9"/>
  <c r="U68" i="9"/>
  <c r="T92" i="9" l="1"/>
  <c r="T91" i="9"/>
  <c r="T89" i="9"/>
  <c r="T88" i="9" s="1"/>
  <c r="T93" i="9" l="1"/>
  <c r="T94" i="9"/>
  <c r="U97" i="9"/>
  <c r="U98" i="9" s="1"/>
  <c r="U96" i="9" s="1"/>
  <c r="U101" i="9" s="1"/>
  <c r="U87" i="9" s="1"/>
  <c r="U35" i="9" l="1"/>
  <c r="U83" i="9"/>
  <c r="U84" i="9" s="1"/>
  <c r="U67" i="9" l="1"/>
  <c r="U77" i="9" s="1"/>
  <c r="V48" i="44"/>
  <c r="U91" i="9"/>
  <c r="U92" i="9"/>
  <c r="U89" i="9"/>
  <c r="U90" i="9"/>
  <c r="U76" i="9" l="1"/>
  <c r="V42" i="44" s="1"/>
  <c r="U66" i="9"/>
  <c r="U57" i="9" s="1"/>
  <c r="U56" i="9" s="1"/>
  <c r="V45" i="44"/>
  <c r="U88" i="9"/>
  <c r="U93" i="9" s="1"/>
  <c r="V41" i="44" l="1"/>
  <c r="V69" i="9"/>
  <c r="V68" i="9"/>
  <c r="U94" i="9"/>
  <c r="V97" i="9"/>
  <c r="V98" i="9" s="1"/>
  <c r="V96" i="9" s="1"/>
  <c r="V35" i="9" l="1"/>
  <c r="V101" i="9"/>
  <c r="V87" i="9" s="1"/>
  <c r="V67" i="9" l="1"/>
  <c r="V77" i="9" s="1"/>
  <c r="W48" i="44"/>
  <c r="V83" i="9"/>
  <c r="V84" i="9" s="1"/>
  <c r="V66" i="9" l="1"/>
  <c r="V57" i="9" s="1"/>
  <c r="V56" i="9" s="1"/>
  <c r="W69" i="9" s="1"/>
  <c r="V76" i="9"/>
  <c r="W42" i="44" s="1"/>
  <c r="W45" i="44"/>
  <c r="V92" i="9"/>
  <c r="V91" i="9"/>
  <c r="V89" i="9"/>
  <c r="V90" i="9"/>
  <c r="W68" i="9" l="1"/>
  <c r="W41" i="44"/>
  <c r="V88" i="9"/>
  <c r="V93" i="9" s="1"/>
  <c r="W97" i="9" l="1"/>
  <c r="W98" i="9" s="1"/>
  <c r="W96" i="9" s="1"/>
  <c r="W101" i="9" s="1"/>
  <c r="V94" i="9"/>
  <c r="W35" i="9" l="1"/>
  <c r="W87" i="9"/>
  <c r="W67" i="9" l="1"/>
  <c r="W76" i="9" s="1"/>
  <c r="X42" i="44" s="1"/>
  <c r="X48" i="44"/>
  <c r="W83" i="9"/>
  <c r="W84" i="9" s="1"/>
  <c r="W77" i="9" l="1"/>
  <c r="W66" i="9"/>
  <c r="W57" i="9" s="1"/>
  <c r="W56" i="9" s="1"/>
  <c r="X45" i="44"/>
  <c r="W91" i="9"/>
  <c r="W90" i="9"/>
  <c r="W89" i="9"/>
  <c r="W92" i="9"/>
  <c r="X41" i="44" l="1"/>
  <c r="W88" i="9"/>
  <c r="W94" i="9" s="1"/>
  <c r="W93" i="9" l="1"/>
</calcChain>
</file>

<file path=xl/sharedStrings.xml><?xml version="1.0" encoding="utf-8"?>
<sst xmlns="http://schemas.openxmlformats.org/spreadsheetml/2006/main" count="490" uniqueCount="218">
  <si>
    <t>European Commission</t>
  </si>
  <si>
    <t>Directorate-General for Economic and Financial Affairs</t>
  </si>
  <si>
    <t>Unit C2  - Sustainability of public finances</t>
  </si>
  <si>
    <t>ECFIN-Secretariat-C2@ec.europa.eu</t>
  </si>
  <si>
    <t>FILE DESCRIPTION</t>
  </si>
  <si>
    <t>HOW TO USE THIS TOOL TO CALCULATE NEW DEBT PROJECTIONS</t>
  </si>
  <si>
    <t>The spreadsheet is composed of the following elements:</t>
  </si>
  <si>
    <t>Coloured cells indicate data sources as follows (this colour-coding holds in the other spreadsheets):</t>
  </si>
  <si>
    <r>
      <t xml:space="preserve">Cells in </t>
    </r>
    <r>
      <rPr>
        <i/>
        <sz val="11"/>
        <color rgb="FF0070C0"/>
        <rFont val="Calibri"/>
        <family val="2"/>
        <scheme val="minor"/>
      </rPr>
      <t>light orange</t>
    </r>
    <r>
      <rPr>
        <sz val="11"/>
        <color rgb="FF0070C0"/>
        <rFont val="Calibri"/>
        <family val="2"/>
        <scheme val="minor"/>
      </rPr>
      <t xml:space="preserve"> provide parameters needed to compute the decomposition of government debt according to its maturity structure (i.e. short-term and long-term debt, maturing, rolled-over and non-maturing debt). </t>
    </r>
    <r>
      <rPr>
        <b/>
        <u/>
        <sz val="11"/>
        <color rgb="FF0070C0"/>
        <rFont val="Calibri"/>
        <family val="2"/>
        <scheme val="minor"/>
      </rPr>
      <t>These are fixed shares which the user cannot change.</t>
    </r>
  </si>
  <si>
    <r>
      <t xml:space="preserve">Cells in </t>
    </r>
    <r>
      <rPr>
        <i/>
        <sz val="11"/>
        <color rgb="FF0070C0"/>
        <rFont val="Calibri"/>
        <family val="2"/>
        <scheme val="minor"/>
      </rPr>
      <t>dark orange</t>
    </r>
    <r>
      <rPr>
        <sz val="11"/>
        <color rgb="FF0070C0"/>
        <rFont val="Calibri"/>
        <family val="2"/>
        <scheme val="minor"/>
      </rPr>
      <t xml:space="preserve"> indicate financial market prices.</t>
    </r>
  </si>
  <si>
    <t>WHERE ARE THE MAIN RESULTS LOCATED?</t>
  </si>
  <si>
    <t>Country</t>
  </si>
  <si>
    <t>Financial stress scenario</t>
  </si>
  <si>
    <t>Lower SPB scenario</t>
  </si>
  <si>
    <r>
      <t xml:space="preserve">Annual adjustment </t>
    </r>
    <r>
      <rPr>
        <sz val="10"/>
        <rFont val="Arial"/>
        <family val="2"/>
      </rPr>
      <t>(change in SPB)</t>
    </r>
  </si>
  <si>
    <t>Net primary expenditure growth</t>
  </si>
  <si>
    <t>Key years</t>
  </si>
  <si>
    <t>Last year of no-fiscal-policy-change projections</t>
  </si>
  <si>
    <t>Structural primary balance</t>
  </si>
  <si>
    <t>Headline balance</t>
  </si>
  <si>
    <t>Structural balance</t>
  </si>
  <si>
    <t>Debt</t>
  </si>
  <si>
    <t>Last year of adjustment</t>
  </si>
  <si>
    <t>Key assumptions</t>
  </si>
  <si>
    <t>Fiscal assumptions (% of GDP)</t>
  </si>
  <si>
    <t/>
  </si>
  <si>
    <t>Structural primary balance ('+' means 'surplus')</t>
  </si>
  <si>
    <t>One-off and other temporary measures</t>
  </si>
  <si>
    <t>Stock-flow adjustments (without exchange rate effect)</t>
  </si>
  <si>
    <t>Stock-flow adjustment (total)</t>
  </si>
  <si>
    <t>Total ageing cost (net of taxes on pensions)</t>
  </si>
  <si>
    <t>of which: Public pensions expenditure</t>
  </si>
  <si>
    <t xml:space="preserve">            Health care expenditure</t>
  </si>
  <si>
    <t xml:space="preserve">            Long-term care expenditure</t>
  </si>
  <si>
    <t xml:space="preserve">            Education &amp; unemployment benefits expenditure</t>
  </si>
  <si>
    <t xml:space="preserve">           Taxes on pensions</t>
  </si>
  <si>
    <t>Property income</t>
  </si>
  <si>
    <t>Actual GDP</t>
  </si>
  <si>
    <t>Growth rate</t>
  </si>
  <si>
    <t>Level</t>
  </si>
  <si>
    <t>Potential GDP</t>
  </si>
  <si>
    <t>Nominal implicit interest rate on debt</t>
  </si>
  <si>
    <t>Short-term nominal interest rate</t>
  </si>
  <si>
    <t>Long-term nominal interest rate</t>
  </si>
  <si>
    <t>GDP deflator (national currency)</t>
  </si>
  <si>
    <t>Additional parameters</t>
  </si>
  <si>
    <t>Fiscal multiplier</t>
  </si>
  <si>
    <t xml:space="preserve">Carnot, N. and de Castro, F. (2015), “The Discretionary Fiscal Effort: an Assessment of Fiscal Policy and its Output Effect”, European Economy, Economic Papers, No. 543. </t>
  </si>
  <si>
    <t>Mourre, G. et al. (2019), "The Semi-Elasticities Underlying the Cyclically-Adjusted Budget Balance: An Update and Further Analysis", European Economy, Discussion Paper, No. 098.</t>
  </si>
  <si>
    <t>Bloomberg data, country-specific forward market rates.</t>
  </si>
  <si>
    <t>DSM 2023</t>
  </si>
  <si>
    <t>Share of short-term debt in total government debt</t>
  </si>
  <si>
    <t>Share of long-term debt in total government debt</t>
  </si>
  <si>
    <t>Bloomberg data, inflation swaps.</t>
  </si>
  <si>
    <t>Central bank inflation target</t>
  </si>
  <si>
    <t>Share of outstanding debt in total debt in 2022</t>
  </si>
  <si>
    <t>Derived from the model and made consistent with the short-term forecast.</t>
  </si>
  <si>
    <t>Share of new long-term debt in 2022</t>
  </si>
  <si>
    <t>Share of new short-term debt in 2022</t>
  </si>
  <si>
    <t>Stock flow adjustments (without exchange rate effect)</t>
  </si>
  <si>
    <t>GDP growth assumptions</t>
  </si>
  <si>
    <t>Actual GDP (real)</t>
  </si>
  <si>
    <t xml:space="preserve">Potential GDP (real) </t>
  </si>
  <si>
    <t>Output gap</t>
  </si>
  <si>
    <t>Actual GDP (nominal, national currency)</t>
  </si>
  <si>
    <t>Interest rate</t>
  </si>
  <si>
    <t>Long-term interest rate</t>
  </si>
  <si>
    <t>Short-term interest rate</t>
  </si>
  <si>
    <t>Share of long-term debt that matures every year</t>
  </si>
  <si>
    <t>Inflation and exchange rate</t>
  </si>
  <si>
    <t>Exchange rate composite change (weighted by share of debt in each currency)</t>
  </si>
  <si>
    <t>Intermediate calculations (growth rate equation)</t>
  </si>
  <si>
    <t>Auxiliary variable to control the closure of the output gap</t>
  </si>
  <si>
    <t>OG intermediate auxiliary value</t>
  </si>
  <si>
    <t>GDP intermediate growth rate - only feedback effect and no closure of the OG</t>
  </si>
  <si>
    <t>Debt projections</t>
  </si>
  <si>
    <t xml:space="preserve">Gross debt </t>
  </si>
  <si>
    <t>Change in debt (-1+2+3)</t>
  </si>
  <si>
    <t>(1) Primary balance (1.1 + 1.2 - 1.3 -1.4 -1.5 - 1.6 -1.7)</t>
  </si>
  <si>
    <t>(1.1) Structural primary balance (before ageing cost)</t>
  </si>
  <si>
    <t>(1.2) Cumulated budgetary effort (in terms of primary balance)</t>
  </si>
  <si>
    <t>(1.3) Cyclical component</t>
  </si>
  <si>
    <t>(1.4) One-off and other temporary measures</t>
  </si>
  <si>
    <t>(1.5) Cost of ageing</t>
  </si>
  <si>
    <t>(1.6) Property incomes</t>
  </si>
  <si>
    <t>(1.7) Revenues</t>
  </si>
  <si>
    <t>(2) Snowball effect (2.1 + 2.2 + 2.3)</t>
  </si>
  <si>
    <t>(2.1) Interest expenditure</t>
  </si>
  <si>
    <t>(2.2) Growth effect</t>
  </si>
  <si>
    <t>(2.3) Inflation effect</t>
  </si>
  <si>
    <t>(2.4) Exchange rate effect linked to the interest rate</t>
  </si>
  <si>
    <t>(3 ) Stock flow adjustments (3.1 + 3.2)</t>
  </si>
  <si>
    <t>(3.1) Base</t>
  </si>
  <si>
    <t>(3.2) Adjustment due to the exchange rate effect linked to debt value</t>
  </si>
  <si>
    <t>Other budgetary variables</t>
  </si>
  <si>
    <t>Net expenditure growth</t>
  </si>
  <si>
    <t>Debt decomposition and IIR</t>
  </si>
  <si>
    <t>Auxiliary variable identifying whether debt is increasing</t>
  </si>
  <si>
    <t>Auxiliary variable identifying whether some debt is rolled over even though debt is decreasing</t>
  </si>
  <si>
    <r>
      <rPr>
        <i/>
        <sz val="8"/>
        <color theme="1"/>
        <rFont val="Arial"/>
        <family val="2"/>
      </rPr>
      <t>Of which</t>
    </r>
    <r>
      <rPr>
        <sz val="8"/>
        <color theme="1"/>
        <rFont val="Arial"/>
        <family val="2"/>
      </rPr>
      <t xml:space="preserve"> Outstanding debt</t>
    </r>
  </si>
  <si>
    <t>Rolled over long-term debt</t>
  </si>
  <si>
    <t>Rolled over short-term debt</t>
  </si>
  <si>
    <t>New long-term debt</t>
  </si>
  <si>
    <t>New short-term debt</t>
  </si>
  <si>
    <t>IIR</t>
  </si>
  <si>
    <t>Long-term implicit interest rate</t>
  </si>
  <si>
    <r>
      <t>Nominal implicit interest rate on debt (</t>
    </r>
    <r>
      <rPr>
        <b/>
        <sz val="8"/>
        <color theme="1"/>
        <rFont val="Arial"/>
        <family val="2"/>
      </rPr>
      <t>Excel approximation</t>
    </r>
    <r>
      <rPr>
        <sz val="8"/>
        <color theme="1"/>
        <rFont val="Arial"/>
        <family val="2"/>
      </rPr>
      <t>)</t>
    </r>
  </si>
  <si>
    <t>Diff. STATA</t>
  </si>
  <si>
    <t>Per memo - STATA results</t>
  </si>
  <si>
    <t>CY</t>
  </si>
  <si>
    <t>EL</t>
  </si>
  <si>
    <t>IE</t>
  </si>
  <si>
    <t>PT</t>
  </si>
  <si>
    <t>Interest rates</t>
  </si>
  <si>
    <t>GDP deflator (National currency)</t>
  </si>
  <si>
    <t>Average net primary expenditure growth</t>
  </si>
  <si>
    <t>NL</t>
  </si>
  <si>
    <r>
      <rPr>
        <i/>
        <sz val="11"/>
        <color rgb="FF0070C0"/>
        <rFont val="Calibri"/>
        <family val="2"/>
        <scheme val="minor"/>
      </rPr>
      <t>Dark grey</t>
    </r>
    <r>
      <rPr>
        <sz val="11"/>
        <color rgb="FF0070C0"/>
        <rFont val="Calibri"/>
        <family val="2"/>
        <scheme val="minor"/>
      </rPr>
      <t xml:space="preserve"> indicates the period in which the SPB, net of changes in cost of ageing, remains constant at its value of end of adjustment.</t>
    </r>
  </si>
  <si>
    <t>Table 1 - Adjustment input data</t>
  </si>
  <si>
    <r>
      <t xml:space="preserve">Cells in </t>
    </r>
    <r>
      <rPr>
        <i/>
        <sz val="11"/>
        <color rgb="FF0070C0"/>
        <rFont val="Calibri"/>
        <family val="2"/>
        <scheme val="minor"/>
      </rPr>
      <t>light grey</t>
    </r>
    <r>
      <rPr>
        <sz val="11"/>
        <color rgb="FF0070C0"/>
        <rFont val="Calibri"/>
        <family val="2"/>
        <scheme val="minor"/>
      </rPr>
      <t xml:space="preserve"> indicate Commission forecast (available in the AMECO database)</t>
    </r>
  </si>
  <si>
    <t>Last year before the adjustment</t>
  </si>
  <si>
    <t>SPB at the end of the adjustment</t>
  </si>
  <si>
    <t>Deficit below 
3% of GDP</t>
  </si>
  <si>
    <t>DSA-based criteria</t>
  </si>
  <si>
    <t>Table 2 - DSA-based criteria and deficit resilience safeguard</t>
  </si>
  <si>
    <r>
      <rPr>
        <i/>
        <sz val="11"/>
        <color rgb="FF0070C0"/>
        <rFont val="Calibri"/>
        <family val="2"/>
        <scheme val="minor"/>
      </rPr>
      <t>Light grey</t>
    </r>
    <r>
      <rPr>
        <sz val="11"/>
        <color rgb="FF0070C0"/>
        <rFont val="Calibri"/>
        <family val="2"/>
        <scheme val="minor"/>
      </rPr>
      <t xml:space="preserve"> indicates the pre-plan period, corresponding to the EC forecast</t>
    </r>
  </si>
  <si>
    <t>Without extension</t>
  </si>
  <si>
    <t>With extension</t>
  </si>
  <si>
    <t>Annual adjustment (with safeguard)</t>
  </si>
  <si>
    <t>Annual adjustment (without safeguard)</t>
  </si>
  <si>
    <t>Table 5 - Technical information*</t>
  </si>
  <si>
    <t>Table 4 - Main fiscal variables without automatic deficit resilience safeguard</t>
  </si>
  <si>
    <t>Sources</t>
  </si>
  <si>
    <t>Eurostat, average shares over the 3 last available years.</t>
  </si>
  <si>
    <t>ECB, country-specific historical average shares over the 6 last available years. For post-programme countries (CY, El , IE and PT), the redemption profile of official loans has been taken into account for the computation of the share of long-term debt that matures every year. For these countries, changing this parameter would not affect debt projections.</t>
  </si>
  <si>
    <t>Share of rolled-over long-term debt in 2022</t>
  </si>
  <si>
    <t>Share of rolled-over short-term debt in 2022</t>
  </si>
  <si>
    <t>IIR difference STATA - Excel</t>
  </si>
  <si>
    <t>(i - g)</t>
  </si>
  <si>
    <r>
      <t xml:space="preserve">The sheet "Input data" in light blue presents the </t>
    </r>
    <r>
      <rPr>
        <b/>
        <sz val="11"/>
        <color rgb="FF0070C0"/>
        <rFont val="Calibri"/>
        <family val="2"/>
        <scheme val="minor"/>
      </rPr>
      <t>input data</t>
    </r>
    <r>
      <rPr>
        <sz val="11"/>
        <color rgb="FF0070C0"/>
        <rFont val="Calibri"/>
        <family val="2"/>
        <scheme val="minor"/>
      </rPr>
      <t>, including fiscal and GDP growth assumptions as well as additional fiscal parameters. Unless stated otherwise below,</t>
    </r>
    <r>
      <rPr>
        <b/>
        <u/>
        <sz val="11"/>
        <color rgb="FF0070C0"/>
        <rFont val="Calibri"/>
        <family val="2"/>
        <scheme val="minor"/>
      </rPr>
      <t xml:space="preserve"> the user can change all values in this tab.</t>
    </r>
  </si>
  <si>
    <r>
      <rPr>
        <i/>
        <sz val="11"/>
        <color rgb="FF0070C0"/>
        <rFont val="Calibri"/>
        <family val="2"/>
        <scheme val="minor"/>
      </rPr>
      <t>Mild grey</t>
    </r>
    <r>
      <rPr>
        <sz val="11"/>
        <color rgb="FF0070C0"/>
        <rFont val="Calibri"/>
        <family val="2"/>
        <scheme val="minor"/>
      </rPr>
      <t xml:space="preserve"> indicates the period during which the SPB adjusts according to the path set in sheet "</t>
    </r>
    <r>
      <rPr>
        <b/>
        <sz val="11"/>
        <color rgb="FF0070C0"/>
        <rFont val="Calibri"/>
        <family val="2"/>
        <scheme val="minor"/>
      </rPr>
      <t>Criteria results</t>
    </r>
    <r>
      <rPr>
        <sz val="11"/>
        <color rgb="FF0070C0"/>
        <rFont val="Calibri"/>
        <family val="2"/>
        <scheme val="minor"/>
      </rPr>
      <t>"</t>
    </r>
  </si>
  <si>
    <t xml:space="preserve">The sheet in orange presents the scenario that automatically corrects the yearly adjustment path to account for the deficit resillience safeguard. </t>
  </si>
  <si>
    <t>Annual change in SPB</t>
  </si>
  <si>
    <t>Table 3 - Main fiscal variables with automatic deficit resilience safeguard *</t>
  </si>
  <si>
    <t>* The structural balance is flagged in red if it is below -1.5% of GDP.</t>
  </si>
  <si>
    <t>The sheet in green presents the adjustment scenarios without the deficit resilience safeguard. This scenario is computed automatically based on the yearly adjustment path set in "Criteria results" (see above).</t>
  </si>
  <si>
    <t>Within the orange sheet and each green sheet, the background of the SPB line has three colours. Each colour corresponds to a specific period of the projections:</t>
  </si>
  <si>
    <t xml:space="preserve">The next spreadsheets present the no-fiscal-policy-change baseline and the adjustment scenario, with and without the impact of the deficit resilience safeguard. Each deterministic projection provides a single path for debt until 2038 or 2041 under certain assumptions for budgetary, macroeconomic and financial variables. 
</t>
  </si>
  <si>
    <t>Deficit resilience 
safeguard</t>
  </si>
  <si>
    <t>Level (billions, national currency)</t>
  </si>
  <si>
    <t>Debt decreasing? (For criterion 1)</t>
  </si>
  <si>
    <t>Table 7a: Debt and headline balance projections and key underlying assumptions (under the planned fiscal path)</t>
  </si>
  <si>
    <t>Gross debt</t>
  </si>
  <si>
    <t>(% GDP)</t>
  </si>
  <si>
    <t>General government balance</t>
  </si>
  <si>
    <t>(% pot. GDP)</t>
  </si>
  <si>
    <t>Cyclical component</t>
  </si>
  <si>
    <t>One-off measures</t>
  </si>
  <si>
    <t>Interest expenditure</t>
  </si>
  <si>
    <t>(%)</t>
  </si>
  <si>
    <t>Implicit average interest rate</t>
  </si>
  <si>
    <t>Stock-flow adjustment</t>
  </si>
  <si>
    <t>(growth rate)</t>
  </si>
  <si>
    <t>Real GDP</t>
  </si>
  <si>
    <t>GDP deflator</t>
  </si>
  <si>
    <t>Nominal GDP</t>
  </si>
  <si>
    <t>Table 7b: Debt projections and key stressed variables, deterministic scenarios and stochastic simulations</t>
  </si>
  <si>
    <t>Adverse 'r-g' scenario</t>
  </si>
  <si>
    <t>Stochastic simulations</t>
  </si>
  <si>
    <t>Probability of debt being below its value in T+4/7</t>
  </si>
  <si>
    <t>Table 7c: Debt and headline balance projections and underlying assumptions (under 'no-fiscal-policy-change' baseline)</t>
  </si>
  <si>
    <t>Table 7d: Debt projections and additional assumptions (under the planned fiscal path)</t>
  </si>
  <si>
    <t>line</t>
  </si>
  <si>
    <t>approximation</t>
  </si>
  <si>
    <t>SF24</t>
  </si>
  <si>
    <t>Real GDP growth assumptions (based on SF 2024 T+10 projections and AR 2024 projections)</t>
  </si>
  <si>
    <r>
      <t>This file contains a simplified version of the EC model used to calculate the general governement debt ratio dynamics for EU countries under different scenarios. A detailed description of the EC's general govern</t>
    </r>
    <r>
      <rPr>
        <strike/>
        <sz val="11"/>
        <color rgb="FF0070C0"/>
        <rFont val="Calibri"/>
        <family val="2"/>
        <scheme val="minor"/>
      </rPr>
      <t>e</t>
    </r>
    <r>
      <rPr>
        <sz val="11"/>
        <color rgb="FF0070C0"/>
        <rFont val="Calibri"/>
        <family val="2"/>
        <scheme val="minor"/>
      </rPr>
      <t>ment debt projections can be found</t>
    </r>
    <r>
      <rPr>
        <b/>
        <sz val="11"/>
        <color rgb="FF0070C0"/>
        <rFont val="Calibri"/>
        <family val="2"/>
        <scheme val="minor"/>
      </rPr>
      <t xml:space="preserve"> in the "</t>
    </r>
    <r>
      <rPr>
        <b/>
        <u/>
        <sz val="11"/>
        <color rgb="FF0070C0"/>
        <rFont val="Calibri"/>
        <family val="2"/>
        <scheme val="minor"/>
      </rPr>
      <t>Debt Sustainability Monitor 2023" (DSM, March 2024)</t>
    </r>
    <r>
      <rPr>
        <b/>
        <sz val="11"/>
        <color rgb="FF0070C0"/>
        <rFont val="Calibri"/>
        <family val="2"/>
        <scheme val="minor"/>
      </rPr>
      <t xml:space="preserve">. </t>
    </r>
  </si>
  <si>
    <r>
      <t xml:space="preserve">Cells in </t>
    </r>
    <r>
      <rPr>
        <i/>
        <sz val="11"/>
        <color rgb="FF0070C0"/>
        <rFont val="Calibri"/>
        <family val="2"/>
        <scheme val="minor"/>
      </rPr>
      <t>light blue</t>
    </r>
    <r>
      <rPr>
        <sz val="11"/>
        <color rgb="FF0070C0"/>
        <rFont val="Calibri"/>
        <family val="2"/>
        <scheme val="minor"/>
      </rPr>
      <t xml:space="preserve"> indicate values from the Ageing Report 2024</t>
    </r>
  </si>
  <si>
    <t>Non coloured parameters in cells C50:C70 were calibrated based on different data sources. Data sources are given in corresponding cells of column E.</t>
  </si>
  <si>
    <t xml:space="preserve">Share of primary expenditure in GDP in 2024 </t>
  </si>
  <si>
    <t>Long-term nominal interest rate (T+10 convergence value)</t>
  </si>
  <si>
    <t>Short-term nominal interest rate (T+10 convergence value)</t>
  </si>
  <si>
    <t>Long-term nominal interest rate (T+30 convergence value)</t>
  </si>
  <si>
    <t>Short-term nominal interest rate (T+30 convergence value)</t>
  </si>
  <si>
    <t>Share of long-term debt that matures every year (T+10 convergence value)</t>
  </si>
  <si>
    <t>GDP deflator (national currency) (T+10 convergence value)</t>
  </si>
  <si>
    <t>GDP deflator (national currency) (T+30 convergence value)</t>
  </si>
  <si>
    <r>
      <t xml:space="preserve">Data reported in this file are based on the </t>
    </r>
    <r>
      <rPr>
        <i/>
        <sz val="11"/>
        <color rgb="FF0070C0"/>
        <rFont val="Calibri"/>
        <family val="2"/>
        <scheme val="minor"/>
      </rPr>
      <t>European Commission (EC) 2024 spring forecast</t>
    </r>
    <r>
      <rPr>
        <sz val="11"/>
        <color rgb="FF0070C0"/>
        <rFont val="Calibri"/>
        <family val="2"/>
        <scheme val="minor"/>
      </rPr>
      <t xml:space="preserve"> </t>
    </r>
    <r>
      <rPr>
        <i/>
        <sz val="11"/>
        <color rgb="FF0070C0"/>
        <rFont val="Calibri"/>
        <family val="2"/>
        <scheme val="minor"/>
      </rPr>
      <t>(SF 2024)</t>
    </r>
    <r>
      <rPr>
        <sz val="11"/>
        <color rgb="FF0070C0"/>
        <rFont val="Calibri"/>
        <family val="2"/>
        <scheme val="minor"/>
      </rPr>
      <t xml:space="preserve"> and macroeconomic and budgetary projections from the joint </t>
    </r>
    <r>
      <rPr>
        <i/>
        <sz val="11"/>
        <color rgb="FF0070C0"/>
        <rFont val="Calibri"/>
        <family val="2"/>
        <scheme val="minor"/>
      </rPr>
      <t>EC-EPC Ageing Report 2024 (AR 2024)</t>
    </r>
    <r>
      <rPr>
        <sz val="11"/>
        <color rgb="FF0070C0"/>
        <rFont val="Calibri"/>
        <family val="2"/>
        <scheme val="minor"/>
      </rPr>
      <t xml:space="preserve">. </t>
    </r>
    <r>
      <rPr>
        <b/>
        <sz val="11"/>
        <color rgb="FF0070C0"/>
        <rFont val="Calibri"/>
        <family val="2"/>
        <scheme val="minor"/>
      </rPr>
      <t xml:space="preserve">
</t>
    </r>
  </si>
  <si>
    <t>1.</t>
  </si>
  <si>
    <t>2.</t>
  </si>
  <si>
    <t>Interest rates (SF 2024, %)</t>
  </si>
  <si>
    <t>Inflation (SF 2024, %)</t>
  </si>
  <si>
    <t>Net primary expenditure growth (SF 2024, %)</t>
  </si>
  <si>
    <t>Budget balance semi-elasticity</t>
  </si>
  <si>
    <r>
      <t>The grey sheet "</t>
    </r>
    <r>
      <rPr>
        <b/>
        <sz val="11"/>
        <color rgb="FF0070C0"/>
        <rFont val="Calibri"/>
        <family val="2"/>
        <scheme val="minor"/>
      </rPr>
      <t>Criteria results</t>
    </r>
    <r>
      <rPr>
        <sz val="11"/>
        <color rgb="FF0070C0"/>
        <rFont val="Calibri"/>
        <family val="2"/>
        <scheme val="minor"/>
      </rPr>
      <t>" contains three types of cells identified by different colours:</t>
    </r>
  </si>
  <si>
    <t>Cost of ageing and selected public revenue (based on the Commission-Council 2024 Ageing Report ("AR 2024"))</t>
  </si>
  <si>
    <t>Number of years of adjustment</t>
  </si>
  <si>
    <r>
      <t xml:space="preserve">Cells with a </t>
    </r>
    <r>
      <rPr>
        <i/>
        <sz val="11"/>
        <color rgb="FF0070C0"/>
        <rFont val="Calibri"/>
        <family val="2"/>
        <scheme val="minor"/>
      </rPr>
      <t>yellow background and a red frame</t>
    </r>
    <r>
      <rPr>
        <sz val="11"/>
        <color rgb="FF0070C0"/>
        <rFont val="Calibri"/>
        <family val="2"/>
        <scheme val="minor"/>
      </rPr>
      <t xml:space="preserve"> can be modified to see the impact of a different duration or pace of adjustment.</t>
    </r>
  </si>
  <si>
    <r>
      <t xml:space="preserve">Cells with a </t>
    </r>
    <r>
      <rPr>
        <i/>
        <sz val="11"/>
        <color rgb="FF0070C0"/>
        <rFont val="Calibri"/>
        <family val="2"/>
        <scheme val="minor"/>
      </rPr>
      <t>pale blue background</t>
    </r>
    <r>
      <rPr>
        <sz val="11"/>
        <color rgb="FF0070C0"/>
        <rFont val="Calibri"/>
        <family val="2"/>
        <scheme val="minor"/>
      </rPr>
      <t xml:space="preserve"> correspond to the Commission's prior guidance provided to the Member State. Those are hard numbers that do not depend on the adjustment chosen in the file.</t>
    </r>
  </si>
  <si>
    <t>Subject to an excessive deficit procedure (EDP) (0-no/1-yes)</t>
  </si>
  <si>
    <t>Key fiscal variables (based on the Commission 2024 spring forecast ("SF 2024") T+2 forecast and the June 2024 report prepared under Art. 126(3) of the Treaty)</t>
  </si>
  <si>
    <r>
      <t>This tool can be used to calculate debt projections under different macroeconomic and structural primary balance adjustment assumptions. Debt projections for each scenario will update automatically with changes in the macroeconomic assumptions or the adjustment parameters. The fulfilment of DSA-based criteria, the safeguards and the benchmark will be automatically calculated in the sheet "</t>
    </r>
    <r>
      <rPr>
        <b/>
        <sz val="11"/>
        <color rgb="FF0070C0"/>
        <rFont val="Calibri"/>
        <family val="2"/>
        <scheme val="minor"/>
      </rPr>
      <t>Criteria results</t>
    </r>
    <r>
      <rPr>
        <sz val="11"/>
        <color rgb="FF0070C0"/>
        <rFont val="Calibri"/>
        <family val="2"/>
        <scheme val="minor"/>
      </rPr>
      <t>".
Formulas are fully visible. To assess the impact of alternative fiscal paths or to check the robustness of underlying macroeconomic assumptions, the user can modify the content of key cells in the sheets "</t>
    </r>
    <r>
      <rPr>
        <b/>
        <sz val="11"/>
        <color rgb="FF0070C0"/>
        <rFont val="Calibri"/>
        <family val="2"/>
        <scheme val="minor"/>
      </rPr>
      <t>Criteria results</t>
    </r>
    <r>
      <rPr>
        <sz val="11"/>
        <color rgb="FF0070C0"/>
        <rFont val="Calibri"/>
        <family val="2"/>
        <scheme val="minor"/>
      </rPr>
      <t>" and "</t>
    </r>
    <r>
      <rPr>
        <b/>
        <sz val="11"/>
        <color rgb="FF0070C0"/>
        <rFont val="Calibri"/>
        <family val="2"/>
        <scheme val="minor"/>
      </rPr>
      <t>Input data</t>
    </r>
    <r>
      <rPr>
        <sz val="11"/>
        <color rgb="FF0070C0"/>
        <rFont val="Calibri"/>
        <family val="2"/>
        <scheme val="minor"/>
      </rPr>
      <t>" (see below).
Note that, for a proper functioning of the file, you should make sure that Excel is in "Automatic" computation mode, i.e. in the File menu, Option tab, click on "Formulas", "Calculation Options" and "Automatic".</t>
    </r>
  </si>
  <si>
    <r>
      <t xml:space="preserve">Cells with a </t>
    </r>
    <r>
      <rPr>
        <i/>
        <sz val="11"/>
        <color rgb="FF0070C0"/>
        <rFont val="Calibri"/>
        <family val="2"/>
        <scheme val="minor"/>
      </rPr>
      <t xml:space="preserve">white or pale red (in case the deficit resilience safeguard is binding) background </t>
    </r>
    <r>
      <rPr>
        <sz val="11"/>
        <color rgb="FF0070C0"/>
        <rFont val="Calibri"/>
        <family val="2"/>
        <scheme val="minor"/>
      </rPr>
      <t>provide results obtained with the adjustment chosen in the yellow cells. To replicate the Commission's calculations, the underlying formulas should not be modified.</t>
    </r>
  </si>
  <si>
    <r>
      <t>The fullfilment of the criteria is checked in the sheet "</t>
    </r>
    <r>
      <rPr>
        <b/>
        <sz val="11"/>
        <color rgb="FF0070C0"/>
        <rFont val="Calibri"/>
        <family val="2"/>
        <scheme val="minor"/>
      </rPr>
      <t>Criteria results</t>
    </r>
    <r>
      <rPr>
        <sz val="11"/>
        <color rgb="FF0070C0"/>
        <rFont val="Calibri"/>
        <family val="2"/>
        <scheme val="minor"/>
      </rPr>
      <t xml:space="preserve">".
Debt projections can be found in line 57 of each scenario. </t>
    </r>
  </si>
  <si>
    <t>The 'FASTOP reporting' sheet in violet provides help for preparing reporting tables. It readily provides all the tables foreseen by the guidance notice on the "Information Requirements for the Medium-Term Fiscal-Structural Plans" once the parameters are set in the rest of this file.
This sheet is meant to be an assistance. The need for a thorough scrutiny of the figures before submitting such tables remains.</t>
  </si>
  <si>
    <t>* Under a plan without (with) extension, an adjustment of 0.40 pp. (0.25 pp.) of GDP in SPB terms is applied if the structural deficit in the previous year exceeds 1.5% of GDP.</t>
  </si>
  <si>
    <t>* The technical information provides the structural primary balance necessary to ensure that the deficit remains below 3% of GDP and debt remains below 60% of GDP over the medium term in the absence of additional fiscal measures beyond the adjustment period.  In line with the deficit resilience safeguard, and when necessary, an adjustment of 0.4 pp of GDP (0.25 pp. in case of extension) in structural primary terms is applied until the structural balance is at least equal to -1.5% of GDP. Note that the SPB at the end of the adjustment period may be lower than the SPB at the beginning of the plan, indicating that the Member State does not need to adjust.</t>
  </si>
  <si>
    <t>Table 2 "DSA-based criteria and deficit resilience safeguard" reports whether the chosen adjustment fulfils the DSA-based criteria (cells H12:I13) and whether the deficit resillience safeguard is binding.</t>
  </si>
  <si>
    <r>
      <t xml:space="preserve">Table 3 "Main fiscal variables with automatic deficit resilience safeguard" reports the annual adjustment over the adjustment period, in terms of change in SPB (line 18), level of the structural balance (line 19) and SPB level at the end of the adjustment (line 20). This table reports the results for the scenario that </t>
    </r>
    <r>
      <rPr>
        <i/>
        <sz val="11"/>
        <color rgb="FF0070C0"/>
        <rFont val="Calibri"/>
        <family val="2"/>
        <scheme val="minor"/>
      </rPr>
      <t>automatically applies the deficit resillience safeguard</t>
    </r>
    <r>
      <rPr>
        <sz val="11"/>
        <color rgb="FF0070C0"/>
        <rFont val="Calibri"/>
        <family val="2"/>
        <scheme val="minor"/>
      </rPr>
      <t>. For this reason, the SB is highlighted in red if it is lower than -1.5% of GDP.</t>
    </r>
  </si>
  <si>
    <r>
      <t xml:space="preserve">Table 4 "Main fiscal variables without automatic deficit resilience safeguard" reports the annual adjustment over the adjustment period, in terms of change in SPB (line 25), level of the structural balance (line 26) and SPB level at the end of the adjustment (line 27). This table reports the results for the scenario </t>
    </r>
    <r>
      <rPr>
        <i/>
        <sz val="11"/>
        <color rgb="FF0070C0"/>
        <rFont val="Calibri"/>
        <family val="2"/>
        <scheme val="minor"/>
      </rPr>
      <t>without the deficit resillience safeguard</t>
    </r>
    <r>
      <rPr>
        <sz val="11"/>
        <color rgb="FF0070C0"/>
        <rFont val="Calibri"/>
        <family val="2"/>
        <scheme val="minor"/>
      </rPr>
      <t>.</t>
    </r>
  </si>
  <si>
    <t>Table 5 "Technical information" reports the SPB level at the end of the adjustment period that fulfils the DSA-based criteria and takes into account the deficit resilience safeguard, both without and with extension.</t>
  </si>
  <si>
    <r>
      <t>"</t>
    </r>
    <r>
      <rPr>
        <b/>
        <sz val="11"/>
        <color rgb="FF0070C0"/>
        <rFont val="Calibri"/>
        <family val="2"/>
        <scheme val="minor"/>
      </rPr>
      <t>Criteria results</t>
    </r>
    <r>
      <rPr>
        <sz val="11"/>
        <color rgb="FF0070C0"/>
        <rFont val="Calibri"/>
        <family val="2"/>
        <scheme val="minor"/>
      </rPr>
      <t xml:space="preserve">" contains five tables.
Table 1 "Adjustment input data": the user can set the duration of the plan in cell F5 (4 years without extension or 7 years with extension), the yearly adjustment pace under the scenario that does not take into account the deficit resilience safeguard (F7) and for the scenario that automatically applies that safeguard (F6). Note that the country cell (F4) cannot be changed. 
</t>
    </r>
  </si>
  <si>
    <t>The adjustement in F7 needs to be selected first so that the message on line 13 signals that the two DSA-based criteria are fulfilled. As a second step, the adjustment in F6 can be selected (and cannot be lower than in F7) so that line 12 reports compliance with the requirements.</t>
  </si>
  <si>
    <t>Adjustment scenario with automatic deficit resilience safeguard *
(sheet "Adjustment scenario")</t>
  </si>
  <si>
    <t>Adjustment scenario without deficit resilience safeguard
(sheet "Adjust. no safeguard")</t>
  </si>
  <si>
    <t>No extension (annual adjustment of 0.18)</t>
  </si>
  <si>
    <t>Extension (annual adjustment of 0.1)</t>
  </si>
  <si>
    <t>The sheet in blue provides, as a reference, the baseline no-fiscal-policy-change scenario. The background colour coding is the same as in the sheet "Input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</si>
</sst>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
    <numFmt numFmtId="165" formatCode="0.0"/>
    <numFmt numFmtId="166" formatCode="0.000"/>
    <numFmt numFmtId="167" formatCode="0.00000"/>
    <numFmt numFmtId="168" formatCode="0.000000"/>
    <numFmt numFmtId="169" formatCode="0.0000000"/>
    <numFmt numFmtId="170" formatCode="0.00000000"/>
  </numFmts>
  <fonts count="44"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i/>
      <sz val="8"/>
      <color theme="1"/>
      <name val="Arial"/>
      <family val="2"/>
    </font>
    <font>
      <b/>
      <sz val="8"/>
      <color theme="1"/>
      <name val="Arial"/>
      <family val="2"/>
    </font>
    <font>
      <b/>
      <sz val="8"/>
      <name val="Arial"/>
      <family val="2"/>
    </font>
    <font>
      <i/>
      <sz val="8"/>
      <name val="Arial"/>
      <family val="2"/>
    </font>
    <font>
      <b/>
      <i/>
      <sz val="8"/>
      <name val="Arial"/>
      <family val="2"/>
    </font>
    <font>
      <sz val="8"/>
      <name val="Arial"/>
      <family val="2"/>
    </font>
    <font>
      <b/>
      <sz val="8"/>
      <color rgb="FF002060"/>
      <name val="Arial"/>
      <family val="2"/>
    </font>
    <font>
      <b/>
      <sz val="10"/>
      <color theme="1"/>
      <name val="Arial"/>
      <family val="2"/>
    </font>
    <font>
      <u/>
      <sz val="11"/>
      <color theme="10"/>
      <name val="Calibri"/>
      <family val="2"/>
      <scheme val="minor"/>
    </font>
    <font>
      <b/>
      <sz val="10"/>
      <color theme="0"/>
      <name val="Arial"/>
      <family val="2"/>
    </font>
    <font>
      <b/>
      <sz val="8"/>
      <color rgb="FF0070C0"/>
      <name val="Arial"/>
      <family val="2"/>
    </font>
    <font>
      <sz val="8"/>
      <color theme="0"/>
      <name val="Arial"/>
      <family val="2"/>
    </font>
    <font>
      <sz val="10"/>
      <color theme="0"/>
      <name val="Arial"/>
      <family val="2"/>
    </font>
    <font>
      <i/>
      <sz val="10"/>
      <color theme="1"/>
      <name val="Arial"/>
      <family val="2"/>
    </font>
    <font>
      <sz val="8"/>
      <color rgb="FF002060"/>
      <name val="Arial"/>
      <family val="2"/>
    </font>
    <font>
      <b/>
      <i/>
      <sz val="10"/>
      <color theme="0"/>
      <name val="Arial"/>
      <family val="2"/>
    </font>
    <font>
      <b/>
      <sz val="11"/>
      <color theme="0"/>
      <name val="Calibri"/>
      <family val="2"/>
      <scheme val="minor"/>
    </font>
    <font>
      <sz val="11"/>
      <color rgb="FF0070C0"/>
      <name val="Calibri"/>
      <family val="2"/>
      <scheme val="minor"/>
    </font>
    <font>
      <b/>
      <sz val="11"/>
      <color rgb="FF0070C0"/>
      <name val="Calibri"/>
      <family val="2"/>
      <scheme val="minor"/>
    </font>
    <font>
      <u/>
      <sz val="11"/>
      <color rgb="FF0070C0"/>
      <name val="Calibri"/>
      <family val="2"/>
      <scheme val="minor"/>
    </font>
    <font>
      <i/>
      <sz val="11"/>
      <color rgb="FF0070C0"/>
      <name val="Calibri"/>
      <family val="2"/>
      <scheme val="minor"/>
    </font>
    <font>
      <strike/>
      <sz val="11"/>
      <color rgb="FF0070C0"/>
      <name val="Calibri"/>
      <family val="2"/>
      <scheme val="minor"/>
    </font>
    <font>
      <b/>
      <u/>
      <sz val="11"/>
      <color rgb="FF0070C0"/>
      <name val="Calibri"/>
      <family val="2"/>
      <scheme val="minor"/>
    </font>
    <font>
      <sz val="8"/>
      <color rgb="FF0070C0"/>
      <name val="Arial"/>
      <family val="2"/>
    </font>
    <font>
      <sz val="11"/>
      <color rgb="FF000000"/>
      <name val="Calibri"/>
      <family val="2"/>
    </font>
    <font>
      <b/>
      <sz val="10"/>
      <color rgb="FFFF0000"/>
      <name val="Arial"/>
      <family val="2"/>
    </font>
    <font>
      <sz val="10"/>
      <name val="Arial"/>
      <family val="2"/>
    </font>
    <font>
      <b/>
      <sz val="10"/>
      <name val="Arial"/>
      <family val="2"/>
    </font>
    <font>
      <i/>
      <sz val="8"/>
      <color theme="0" tint="-0.34998626667073579"/>
      <name val="Arial"/>
      <family val="2"/>
    </font>
    <font>
      <i/>
      <sz val="8"/>
      <color theme="0" tint="-0.499984740745262"/>
      <name val="Arial"/>
      <family val="2"/>
    </font>
    <font>
      <b/>
      <sz val="10"/>
      <color rgb="FFFFFFFF"/>
      <name val="Arial"/>
      <family val="2"/>
    </font>
    <font>
      <b/>
      <sz val="10"/>
      <color theme="4" tint="-0.249977111117893"/>
      <name val="Arial"/>
      <family val="2"/>
    </font>
    <font>
      <sz val="11"/>
      <name val="Calibri"/>
      <family val="2"/>
    </font>
    <font>
      <b/>
      <sz val="12"/>
      <color theme="1"/>
      <name val="Arial"/>
      <family val="2"/>
    </font>
    <font>
      <b/>
      <sz val="12"/>
      <color rgb="FFFF0000"/>
      <name val="Arial"/>
      <family val="2"/>
    </font>
  </fonts>
  <fills count="2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92D050"/>
        <bgColor indexed="64"/>
      </patternFill>
    </fill>
    <fill>
      <patternFill patternType="solid">
        <fgColor rgb="FF92CDDC"/>
        <bgColor indexed="64"/>
      </patternFill>
    </fill>
    <fill>
      <patternFill patternType="solid">
        <fgColor rgb="FF0070C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bgColor rgb="FF000000"/>
      </patternFill>
    </fill>
    <fill>
      <patternFill patternType="solid">
        <fgColor theme="9"/>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7030A0"/>
        <bgColor indexed="64"/>
      </patternFill>
    </fill>
    <fill>
      <patternFill patternType="solid">
        <fgColor theme="5" tint="0.79998168889431442"/>
        <bgColor indexed="64"/>
      </patternFill>
    </fill>
    <fill>
      <patternFill patternType="solid">
        <fgColor theme="5"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right style="thick">
        <color rgb="FFFF0000"/>
      </right>
      <top/>
      <bottom style="thin">
        <color indexed="64"/>
      </bottom>
      <diagonal/>
    </border>
    <border>
      <left/>
      <right style="thick">
        <color rgb="FFFF0000"/>
      </right>
      <top/>
      <bottom/>
      <diagonal/>
    </border>
    <border>
      <left style="thick">
        <color rgb="FFFF0000"/>
      </left>
      <right style="thick">
        <color rgb="FFFF0000"/>
      </right>
      <top style="thick">
        <color rgb="FFFF0000"/>
      </top>
      <bottom style="thick">
        <color rgb="FFFF0000"/>
      </bottom>
      <diagonal/>
    </border>
    <border>
      <left style="thick">
        <color rgb="FFFF0000"/>
      </left>
      <right/>
      <top/>
      <bottom/>
      <diagonal/>
    </border>
  </borders>
  <cellStyleXfs count="14">
    <xf numFmtId="0" fontId="0" fillId="0" borderId="0"/>
    <xf numFmtId="0" fontId="7" fillId="0" borderId="0"/>
    <xf numFmtId="0" fontId="7" fillId="0" borderId="0"/>
    <xf numFmtId="0" fontId="6" fillId="0" borderId="0"/>
    <xf numFmtId="0" fontId="17" fillId="0" borderId="0" applyNumberForma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2" fillId="0" borderId="0"/>
    <xf numFmtId="0" fontId="41" fillId="0" borderId="0"/>
  </cellStyleXfs>
  <cellXfs count="372">
    <xf numFmtId="0" fontId="0" fillId="0" borderId="0" xfId="0"/>
    <xf numFmtId="165" fontId="14" fillId="2" borderId="0" xfId="0" applyNumberFormat="1" applyFont="1" applyFill="1" applyAlignment="1">
      <alignment horizontal="center"/>
    </xf>
    <xf numFmtId="165" fontId="14" fillId="3" borderId="0" xfId="0" applyNumberFormat="1" applyFont="1" applyFill="1" applyAlignment="1">
      <alignment horizontal="center"/>
    </xf>
    <xf numFmtId="165" fontId="14" fillId="4" borderId="0" xfId="0" applyNumberFormat="1" applyFont="1" applyFill="1" applyAlignment="1">
      <alignment horizontal="center"/>
    </xf>
    <xf numFmtId="0" fontId="0" fillId="2" borderId="0" xfId="0" applyFill="1"/>
    <xf numFmtId="0" fontId="16" fillId="2" borderId="0" xfId="0" applyFont="1" applyFill="1"/>
    <xf numFmtId="0" fontId="0" fillId="2" borderId="0" xfId="0" applyFill="1" applyAlignment="1">
      <alignment horizontal="right" vertical="center"/>
    </xf>
    <xf numFmtId="0" fontId="16" fillId="2" borderId="3" xfId="0" applyFont="1" applyFill="1" applyBorder="1"/>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8" fillId="2" borderId="8" xfId="0" applyFont="1" applyFill="1" applyBorder="1" applyAlignment="1">
      <alignment horizontal="center"/>
    </xf>
    <xf numFmtId="0" fontId="8" fillId="2" borderId="5" xfId="0" applyFont="1" applyFill="1" applyBorder="1" applyAlignment="1">
      <alignment horizontal="center" vertical="center" wrapText="1"/>
    </xf>
    <xf numFmtId="0" fontId="8" fillId="2" borderId="8" xfId="0" applyFont="1" applyFill="1" applyBorder="1" applyAlignment="1" applyProtection="1">
      <alignment horizontal="center"/>
      <protection locked="0"/>
    </xf>
    <xf numFmtId="0" fontId="8" fillId="2" borderId="9" xfId="0" applyFont="1" applyFill="1" applyBorder="1" applyAlignment="1">
      <alignment horizontal="center"/>
    </xf>
    <xf numFmtId="0" fontId="18" fillId="10" borderId="0" xfId="0" applyFont="1" applyFill="1"/>
    <xf numFmtId="0" fontId="8" fillId="2" borderId="0" xfId="0" applyFont="1" applyFill="1"/>
    <xf numFmtId="0" fontId="15" fillId="2" borderId="0" xfId="0" applyFont="1" applyFill="1" applyAlignment="1">
      <alignment horizontal="left" vertical="center"/>
    </xf>
    <xf numFmtId="0" fontId="10" fillId="2" borderId="0" xfId="0" applyFont="1" applyFill="1"/>
    <xf numFmtId="0" fontId="8" fillId="2" borderId="0" xfId="0" applyFont="1" applyFill="1" applyAlignment="1">
      <alignment horizontal="center"/>
    </xf>
    <xf numFmtId="0" fontId="9" fillId="2" borderId="0" xfId="0" applyFont="1" applyFill="1"/>
    <xf numFmtId="0" fontId="10" fillId="2" borderId="0" xfId="0" applyFont="1" applyFill="1" applyAlignment="1">
      <alignment horizontal="center"/>
    </xf>
    <xf numFmtId="0" fontId="8" fillId="2" borderId="0" xfId="0" applyFont="1" applyFill="1" applyAlignment="1">
      <alignment horizontal="left" indent="1"/>
    </xf>
    <xf numFmtId="0" fontId="8" fillId="2" borderId="0" xfId="0" applyFont="1" applyFill="1" applyAlignment="1">
      <alignment horizontal="left"/>
    </xf>
    <xf numFmtId="165" fontId="8" fillId="2" borderId="0" xfId="0" applyNumberFormat="1" applyFont="1" applyFill="1" applyAlignment="1">
      <alignment horizontal="center"/>
    </xf>
    <xf numFmtId="0" fontId="8" fillId="2" borderId="6" xfId="0" applyFont="1" applyFill="1" applyBorder="1"/>
    <xf numFmtId="2" fontId="8" fillId="2" borderId="0" xfId="0" applyNumberFormat="1" applyFont="1" applyFill="1" applyAlignment="1">
      <alignment horizontal="center"/>
    </xf>
    <xf numFmtId="165" fontId="14" fillId="2" borderId="6" xfId="0" applyNumberFormat="1" applyFont="1" applyFill="1" applyBorder="1" applyAlignment="1">
      <alignment horizontal="center"/>
    </xf>
    <xf numFmtId="165" fontId="8" fillId="2" borderId="0" xfId="0" applyNumberFormat="1" applyFont="1" applyFill="1"/>
    <xf numFmtId="0" fontId="19" fillId="2" borderId="0" xfId="0" applyFont="1" applyFill="1" applyAlignment="1">
      <alignment horizontal="left" vertical="center"/>
    </xf>
    <xf numFmtId="0" fontId="0" fillId="2" borderId="4" xfId="0" applyFill="1" applyBorder="1" applyAlignment="1">
      <alignment horizontal="center"/>
    </xf>
    <xf numFmtId="0" fontId="8" fillId="2" borderId="0" xfId="0" applyFont="1" applyFill="1" applyAlignment="1">
      <alignment horizontal="right"/>
    </xf>
    <xf numFmtId="164" fontId="8" fillId="2" borderId="0" xfId="0" applyNumberFormat="1" applyFont="1" applyFill="1" applyAlignment="1">
      <alignment horizontal="right"/>
    </xf>
    <xf numFmtId="165" fontId="15" fillId="2" borderId="0" xfId="0" applyNumberFormat="1" applyFont="1" applyFill="1" applyAlignment="1">
      <alignment horizontal="center"/>
    </xf>
    <xf numFmtId="165" fontId="12" fillId="2" borderId="6" xfId="0" applyNumberFormat="1" applyFont="1" applyFill="1" applyBorder="1" applyAlignment="1">
      <alignment horizontal="center"/>
    </xf>
    <xf numFmtId="165" fontId="11" fillId="2" borderId="3" xfId="0" applyNumberFormat="1" applyFont="1" applyFill="1" applyBorder="1" applyAlignment="1">
      <alignment horizontal="center"/>
    </xf>
    <xf numFmtId="165" fontId="8" fillId="2" borderId="6" xfId="0" applyNumberFormat="1" applyFont="1" applyFill="1" applyBorder="1" applyAlignment="1">
      <alignment horizontal="center"/>
    </xf>
    <xf numFmtId="165" fontId="13" fillId="2" borderId="3" xfId="0" applyNumberFormat="1" applyFont="1" applyFill="1" applyBorder="1" applyAlignment="1">
      <alignment horizontal="center"/>
    </xf>
    <xf numFmtId="0" fontId="8" fillId="2" borderId="11" xfId="0" applyFont="1" applyFill="1" applyBorder="1"/>
    <xf numFmtId="2" fontId="8" fillId="2" borderId="0" xfId="0" applyNumberFormat="1" applyFont="1" applyFill="1"/>
    <xf numFmtId="0" fontId="10" fillId="2" borderId="2" xfId="0" applyFont="1" applyFill="1" applyBorder="1"/>
    <xf numFmtId="2" fontId="8" fillId="2" borderId="4" xfId="0" applyNumberFormat="1" applyFont="1" applyFill="1" applyBorder="1" applyAlignment="1" applyProtection="1">
      <alignment horizontal="center"/>
      <protection locked="0"/>
    </xf>
    <xf numFmtId="0" fontId="10" fillId="2" borderId="9" xfId="0" applyFont="1" applyFill="1" applyBorder="1"/>
    <xf numFmtId="2" fontId="8" fillId="2" borderId="7" xfId="0" applyNumberFormat="1" applyFont="1" applyFill="1" applyBorder="1" applyAlignment="1" applyProtection="1">
      <alignment horizontal="center"/>
      <protection locked="0"/>
    </xf>
    <xf numFmtId="2" fontId="8" fillId="2" borderId="0" xfId="0" applyNumberFormat="1" applyFont="1" applyFill="1" applyAlignment="1" applyProtection="1">
      <alignment horizontal="center"/>
      <protection locked="0"/>
    </xf>
    <xf numFmtId="165" fontId="14" fillId="2" borderId="0" xfId="0" applyNumberFormat="1" applyFont="1" applyFill="1" applyAlignment="1" applyProtection="1">
      <alignment horizontal="center"/>
      <protection locked="0"/>
    </xf>
    <xf numFmtId="0" fontId="8" fillId="2" borderId="0" xfId="0" applyFont="1" applyFill="1" applyProtection="1">
      <protection locked="0"/>
    </xf>
    <xf numFmtId="164" fontId="8" fillId="2" borderId="0" xfId="0" applyNumberFormat="1" applyFont="1" applyFill="1"/>
    <xf numFmtId="0" fontId="14" fillId="2" borderId="0" xfId="0" applyFont="1" applyFill="1"/>
    <xf numFmtId="2" fontId="14" fillId="2" borderId="0" xfId="0" applyNumberFormat="1" applyFont="1" applyFill="1" applyAlignment="1" applyProtection="1">
      <alignment horizontal="center"/>
      <protection locked="0"/>
    </xf>
    <xf numFmtId="0" fontId="9" fillId="2" borderId="5" xfId="0" applyFont="1" applyFill="1" applyBorder="1" applyAlignment="1">
      <alignment horizontal="center"/>
    </xf>
    <xf numFmtId="0" fontId="8" fillId="2" borderId="5" xfId="0" applyFont="1" applyFill="1" applyBorder="1" applyAlignment="1">
      <alignment horizontal="center"/>
    </xf>
    <xf numFmtId="0" fontId="8" fillId="2" borderId="7" xfId="0" applyFont="1" applyFill="1" applyBorder="1" applyAlignment="1">
      <alignment horizontal="center"/>
    </xf>
    <xf numFmtId="0" fontId="20" fillId="10" borderId="0" xfId="0" applyFont="1" applyFill="1"/>
    <xf numFmtId="2" fontId="20" fillId="10" borderId="0" xfId="0" applyNumberFormat="1" applyFont="1" applyFill="1" applyAlignment="1">
      <alignment horizontal="center"/>
    </xf>
    <xf numFmtId="0" fontId="20" fillId="10" borderId="0" xfId="0" applyFont="1" applyFill="1" applyAlignment="1">
      <alignment horizontal="center"/>
    </xf>
    <xf numFmtId="0" fontId="20" fillId="10" borderId="0" xfId="0" applyFont="1" applyFill="1" applyAlignment="1">
      <alignment horizontal="right"/>
    </xf>
    <xf numFmtId="0" fontId="21" fillId="10" borderId="0" xfId="0" applyFont="1" applyFill="1" applyAlignment="1">
      <alignment vertical="center"/>
    </xf>
    <xf numFmtId="0" fontId="18" fillId="10" borderId="0" xfId="0" applyFont="1" applyFill="1" applyAlignment="1">
      <alignment horizontal="left" vertical="center"/>
    </xf>
    <xf numFmtId="0" fontId="21" fillId="10" borderId="0" xfId="0" applyFont="1" applyFill="1" applyAlignment="1">
      <alignment horizontal="center" vertical="center"/>
    </xf>
    <xf numFmtId="0" fontId="21" fillId="10" borderId="0" xfId="0" applyFont="1" applyFill="1" applyAlignment="1">
      <alignment horizontal="right" vertical="center"/>
    </xf>
    <xf numFmtId="0" fontId="18" fillId="10" borderId="0" xfId="0" applyFont="1" applyFill="1" applyAlignment="1">
      <alignment vertical="center"/>
    </xf>
    <xf numFmtId="2" fontId="21" fillId="10" borderId="0" xfId="0" applyNumberFormat="1" applyFont="1" applyFill="1" applyAlignment="1">
      <alignment horizontal="center" vertical="center"/>
    </xf>
    <xf numFmtId="0" fontId="8" fillId="2" borderId="3" xfId="0" applyFont="1" applyFill="1" applyBorder="1"/>
    <xf numFmtId="165" fontId="8" fillId="2" borderId="3" xfId="0" applyNumberFormat="1" applyFont="1" applyFill="1" applyBorder="1" applyAlignment="1">
      <alignment horizontal="center"/>
    </xf>
    <xf numFmtId="0" fontId="14" fillId="2" borderId="0" xfId="0" applyFont="1" applyFill="1" applyAlignment="1">
      <alignment horizontal="left" indent="1"/>
    </xf>
    <xf numFmtId="0" fontId="11" fillId="2" borderId="3" xfId="0" applyFont="1" applyFill="1" applyBorder="1"/>
    <xf numFmtId="0" fontId="11" fillId="2" borderId="11" xfId="0" applyFont="1" applyFill="1" applyBorder="1"/>
    <xf numFmtId="0" fontId="11" fillId="2" borderId="11" xfId="0" applyFont="1" applyFill="1" applyBorder="1" applyAlignment="1">
      <alignment horizontal="center"/>
    </xf>
    <xf numFmtId="0" fontId="15" fillId="2" borderId="3" xfId="0" applyFont="1" applyFill="1" applyBorder="1"/>
    <xf numFmtId="0" fontId="12" fillId="2" borderId="0" xfId="0" applyFont="1" applyFill="1" applyAlignment="1">
      <alignment horizontal="left" indent="1"/>
    </xf>
    <xf numFmtId="0" fontId="14" fillId="2" borderId="6" xfId="0" applyFont="1" applyFill="1" applyBorder="1" applyAlignment="1">
      <alignment horizontal="left" indent="1"/>
    </xf>
    <xf numFmtId="0" fontId="15" fillId="2" borderId="0" xfId="0" applyFont="1" applyFill="1"/>
    <xf numFmtId="0" fontId="21" fillId="10" borderId="0" xfId="0" applyFont="1" applyFill="1"/>
    <xf numFmtId="0" fontId="18" fillId="10" borderId="0" xfId="0" applyFont="1" applyFill="1" applyAlignment="1">
      <alignment horizontal="left"/>
    </xf>
    <xf numFmtId="0" fontId="21" fillId="10" borderId="0" xfId="0" applyFont="1" applyFill="1" applyAlignment="1">
      <alignment horizontal="center"/>
    </xf>
    <xf numFmtId="0" fontId="21" fillId="10" borderId="0" xfId="0" applyFont="1" applyFill="1" applyAlignment="1">
      <alignment horizontal="right"/>
    </xf>
    <xf numFmtId="164" fontId="8" fillId="2" borderId="0" xfId="0" applyNumberFormat="1" applyFont="1" applyFill="1" applyAlignment="1">
      <alignment horizontal="center"/>
    </xf>
    <xf numFmtId="166" fontId="14" fillId="2" borderId="0" xfId="0" applyNumberFormat="1" applyFont="1" applyFill="1" applyAlignment="1">
      <alignment horizontal="center"/>
    </xf>
    <xf numFmtId="165" fontId="8" fillId="3" borderId="0" xfId="0" applyNumberFormat="1" applyFont="1" applyFill="1" applyAlignment="1">
      <alignment horizontal="center"/>
    </xf>
    <xf numFmtId="165" fontId="14" fillId="5" borderId="0" xfId="0" applyNumberFormat="1" applyFont="1" applyFill="1" applyAlignment="1">
      <alignment horizontal="center"/>
    </xf>
    <xf numFmtId="0" fontId="18" fillId="2" borderId="0" xfId="0" applyFont="1" applyFill="1"/>
    <xf numFmtId="167" fontId="14" fillId="2" borderId="0" xfId="0" applyNumberFormat="1" applyFont="1" applyFill="1" applyAlignment="1">
      <alignment horizontal="center"/>
    </xf>
    <xf numFmtId="170" fontId="14" fillId="2" borderId="0" xfId="0" applyNumberFormat="1" applyFont="1" applyFill="1" applyAlignment="1">
      <alignment horizontal="center"/>
    </xf>
    <xf numFmtId="0" fontId="8" fillId="2" borderId="0" xfId="0" applyFont="1" applyFill="1" applyAlignment="1">
      <alignment horizontal="left" indent="3"/>
    </xf>
    <xf numFmtId="0" fontId="15" fillId="2" borderId="6" xfId="0" applyFont="1" applyFill="1" applyBorder="1"/>
    <xf numFmtId="0" fontId="8" fillId="2" borderId="6" xfId="0" applyFont="1" applyFill="1" applyBorder="1" applyAlignment="1">
      <alignment horizontal="left" indent="3"/>
    </xf>
    <xf numFmtId="2" fontId="8" fillId="2" borderId="6" xfId="0" applyNumberFormat="1" applyFont="1" applyFill="1" applyBorder="1" applyAlignment="1">
      <alignment horizontal="center"/>
    </xf>
    <xf numFmtId="0" fontId="21" fillId="2" borderId="0" xfId="0" applyFont="1" applyFill="1"/>
    <xf numFmtId="165" fontId="15" fillId="2" borderId="6" xfId="0" applyNumberFormat="1" applyFont="1" applyFill="1" applyBorder="1" applyAlignment="1">
      <alignment horizontal="center"/>
    </xf>
    <xf numFmtId="165" fontId="24" fillId="10" borderId="0" xfId="0" applyNumberFormat="1" applyFont="1" applyFill="1" applyAlignment="1">
      <alignment horizontal="center"/>
    </xf>
    <xf numFmtId="0" fontId="15" fillId="2" borderId="11" xfId="0" applyFont="1" applyFill="1" applyBorder="1"/>
    <xf numFmtId="165" fontId="8" fillId="2" borderId="6" xfId="0" applyNumberFormat="1" applyFont="1" applyFill="1" applyBorder="1"/>
    <xf numFmtId="165" fontId="15" fillId="2" borderId="11" xfId="0" applyNumberFormat="1" applyFont="1" applyFill="1" applyBorder="1" applyAlignment="1">
      <alignment horizontal="center"/>
    </xf>
    <xf numFmtId="0" fontId="23" fillId="2" borderId="0" xfId="0" applyFont="1" applyFill="1"/>
    <xf numFmtId="165" fontId="23" fillId="2" borderId="0" xfId="0" applyNumberFormat="1" applyFont="1" applyFill="1" applyAlignment="1" applyProtection="1">
      <alignment horizontal="center"/>
      <protection locked="0"/>
    </xf>
    <xf numFmtId="168" fontId="8" fillId="2" borderId="0" xfId="0" applyNumberFormat="1" applyFont="1" applyFill="1"/>
    <xf numFmtId="165" fontId="14" fillId="7" borderId="0" xfId="0" applyNumberFormat="1" applyFont="1" applyFill="1" applyAlignment="1">
      <alignment horizontal="center"/>
    </xf>
    <xf numFmtId="0" fontId="14" fillId="2" borderId="0" xfId="0" applyFont="1" applyFill="1" applyAlignment="1">
      <alignment horizontal="left"/>
    </xf>
    <xf numFmtId="166" fontId="8" fillId="2" borderId="0" xfId="0" applyNumberFormat="1" applyFont="1" applyFill="1"/>
    <xf numFmtId="165" fontId="24" fillId="2" borderId="0" xfId="0" applyNumberFormat="1" applyFont="1" applyFill="1" applyAlignment="1">
      <alignment horizontal="center"/>
    </xf>
    <xf numFmtId="165" fontId="24" fillId="2" borderId="6" xfId="0" applyNumberFormat="1" applyFont="1" applyFill="1" applyBorder="1" applyAlignment="1">
      <alignment horizontal="center"/>
    </xf>
    <xf numFmtId="165" fontId="23" fillId="2" borderId="6" xfId="0" applyNumberFormat="1" applyFont="1" applyFill="1" applyBorder="1" applyAlignment="1">
      <alignment horizontal="center"/>
    </xf>
    <xf numFmtId="0" fontId="19" fillId="2" borderId="0" xfId="0" applyFont="1" applyFill="1" applyAlignment="1" applyProtection="1">
      <alignment horizontal="left" vertical="center"/>
      <protection locked="0"/>
    </xf>
    <xf numFmtId="0" fontId="15" fillId="2" borderId="0" xfId="0" applyFont="1" applyFill="1" applyAlignment="1" applyProtection="1">
      <alignment horizontal="left" vertical="center"/>
      <protection locked="0"/>
    </xf>
    <xf numFmtId="0" fontId="10" fillId="2" borderId="2"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9" fillId="2" borderId="5" xfId="0" applyFont="1" applyFill="1" applyBorder="1" applyAlignment="1" applyProtection="1">
      <alignment horizontal="left" vertical="center"/>
      <protection locked="0"/>
    </xf>
    <xf numFmtId="0" fontId="8" fillId="2" borderId="5"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protection locked="0"/>
    </xf>
    <xf numFmtId="0" fontId="0" fillId="2" borderId="0" xfId="0" applyFill="1" applyProtection="1">
      <protection locked="0"/>
    </xf>
    <xf numFmtId="0" fontId="0" fillId="10" borderId="0" xfId="0" applyFill="1" applyProtection="1">
      <protection locked="0"/>
    </xf>
    <xf numFmtId="0" fontId="18" fillId="10" borderId="0" xfId="0" applyFont="1" applyFill="1" applyProtection="1">
      <protection locked="0"/>
    </xf>
    <xf numFmtId="0" fontId="8" fillId="10" borderId="0" xfId="0" applyFont="1" applyFill="1" applyProtection="1">
      <protection locked="0"/>
    </xf>
    <xf numFmtId="0" fontId="10" fillId="2" borderId="0" xfId="0" applyFont="1" applyFill="1" applyAlignment="1" applyProtection="1">
      <alignment horizontal="center"/>
      <protection locked="0"/>
    </xf>
    <xf numFmtId="0" fontId="0" fillId="2" borderId="6" xfId="0" applyFill="1" applyBorder="1" applyProtection="1">
      <protection locked="0"/>
    </xf>
    <xf numFmtId="0" fontId="10" fillId="2" borderId="6" xfId="0" applyFont="1" applyFill="1" applyBorder="1" applyProtection="1">
      <protection locked="0"/>
    </xf>
    <xf numFmtId="0" fontId="8" fillId="2" borderId="6" xfId="0" applyFont="1" applyFill="1" applyBorder="1" applyAlignment="1" applyProtection="1">
      <alignment horizontal="center"/>
      <protection locked="0"/>
    </xf>
    <xf numFmtId="0" fontId="9" fillId="2" borderId="0" xfId="0" applyFont="1" applyFill="1" applyProtection="1">
      <protection locked="0"/>
    </xf>
    <xf numFmtId="0" fontId="8" fillId="2" borderId="0" xfId="0" applyFont="1" applyFill="1" applyAlignment="1" applyProtection="1">
      <alignment horizontal="center"/>
      <protection locked="0"/>
    </xf>
    <xf numFmtId="165" fontId="14" fillId="3" borderId="0" xfId="0" applyNumberFormat="1" applyFont="1" applyFill="1" applyAlignment="1" applyProtection="1">
      <alignment horizontal="center"/>
      <protection locked="0"/>
    </xf>
    <xf numFmtId="165" fontId="14" fillId="5" borderId="0" xfId="0" applyNumberFormat="1" applyFont="1" applyFill="1" applyAlignment="1" applyProtection="1">
      <alignment horizontal="center"/>
      <protection locked="0"/>
    </xf>
    <xf numFmtId="0" fontId="8" fillId="2" borderId="0" xfId="0" applyFont="1" applyFill="1" applyAlignment="1" applyProtection="1">
      <alignment horizontal="left"/>
      <protection locked="0"/>
    </xf>
    <xf numFmtId="0" fontId="8" fillId="2" borderId="0" xfId="0" applyFont="1" applyFill="1" applyAlignment="1" applyProtection="1">
      <alignment horizontal="left" indent="1"/>
      <protection locked="0"/>
    </xf>
    <xf numFmtId="0" fontId="8" fillId="2" borderId="6" xfId="0" applyFont="1" applyFill="1" applyBorder="1" applyProtection="1">
      <protection locked="0"/>
    </xf>
    <xf numFmtId="165" fontId="8" fillId="2" borderId="0" xfId="0" applyNumberFormat="1" applyFont="1" applyFill="1" applyAlignment="1" applyProtection="1">
      <alignment horizontal="center"/>
      <protection locked="0"/>
    </xf>
    <xf numFmtId="165" fontId="8" fillId="3" borderId="0" xfId="0" applyNumberFormat="1" applyFont="1" applyFill="1" applyAlignment="1" applyProtection="1">
      <alignment horizontal="center"/>
      <protection locked="0"/>
    </xf>
    <xf numFmtId="165" fontId="8" fillId="5" borderId="0" xfId="0" applyNumberFormat="1" applyFont="1" applyFill="1" applyAlignment="1" applyProtection="1">
      <alignment horizontal="center"/>
      <protection locked="0"/>
    </xf>
    <xf numFmtId="169" fontId="14" fillId="2" borderId="0" xfId="0" applyNumberFormat="1" applyFont="1" applyFill="1" applyAlignment="1" applyProtection="1">
      <alignment horizontal="center"/>
      <protection locked="0"/>
    </xf>
    <xf numFmtId="0" fontId="10" fillId="2" borderId="6" xfId="0" applyFont="1" applyFill="1" applyBorder="1" applyAlignment="1" applyProtection="1">
      <alignment horizontal="left"/>
      <protection locked="0"/>
    </xf>
    <xf numFmtId="165" fontId="14" fillId="2" borderId="6" xfId="0" applyNumberFormat="1" applyFont="1" applyFill="1" applyBorder="1" applyAlignment="1" applyProtection="1">
      <alignment horizontal="center"/>
      <protection locked="0"/>
    </xf>
    <xf numFmtId="164" fontId="14" fillId="2" borderId="6" xfId="0" applyNumberFormat="1" applyFont="1" applyFill="1" applyBorder="1" applyAlignment="1" applyProtection="1">
      <alignment horizontal="center"/>
      <protection locked="0"/>
    </xf>
    <xf numFmtId="165" fontId="14" fillId="10" borderId="0" xfId="0" applyNumberFormat="1" applyFont="1" applyFill="1" applyAlignment="1" applyProtection="1">
      <alignment horizontal="center"/>
      <protection locked="0"/>
    </xf>
    <xf numFmtId="0" fontId="18" fillId="2" borderId="0" xfId="0" applyFont="1" applyFill="1" applyProtection="1">
      <protection locked="0"/>
    </xf>
    <xf numFmtId="165" fontId="14" fillId="6" borderId="0" xfId="0" applyNumberFormat="1" applyFont="1" applyFill="1" applyAlignment="1" applyProtection="1">
      <alignment horizontal="center"/>
      <protection locked="0"/>
    </xf>
    <xf numFmtId="165" fontId="8" fillId="6" borderId="0" xfId="0" applyNumberFormat="1" applyFont="1" applyFill="1" applyAlignment="1" applyProtection="1">
      <alignment horizontal="center"/>
      <protection locked="0"/>
    </xf>
    <xf numFmtId="0" fontId="10" fillId="2" borderId="0" xfId="0" applyFont="1" applyFill="1" applyProtection="1">
      <protection locked="0"/>
    </xf>
    <xf numFmtId="165" fontId="11" fillId="2" borderId="0" xfId="0" applyNumberFormat="1" applyFont="1" applyFill="1" applyAlignment="1" applyProtection="1">
      <alignment horizontal="center"/>
      <protection locked="0"/>
    </xf>
    <xf numFmtId="0" fontId="11" fillId="2" borderId="0" xfId="0" applyFont="1" applyFill="1" applyAlignment="1" applyProtection="1">
      <alignment horizontal="center"/>
      <protection locked="0"/>
    </xf>
    <xf numFmtId="165" fontId="14" fillId="11" borderId="0" xfId="0" applyNumberFormat="1" applyFont="1" applyFill="1" applyAlignment="1">
      <alignment horizontal="center"/>
    </xf>
    <xf numFmtId="0" fontId="0" fillId="12" borderId="15" xfId="0" quotePrefix="1" applyFill="1" applyBorder="1" applyAlignment="1" applyProtection="1">
      <alignment horizontal="center" vertical="center"/>
      <protection locked="0"/>
    </xf>
    <xf numFmtId="2" fontId="0" fillId="12" borderId="16" xfId="0" applyNumberFormat="1" applyFill="1" applyBorder="1" applyAlignment="1" applyProtection="1">
      <alignment horizontal="center" vertical="center"/>
      <protection locked="0"/>
    </xf>
    <xf numFmtId="0" fontId="4" fillId="5" borderId="0" xfId="6" applyFill="1"/>
    <xf numFmtId="0" fontId="4" fillId="2" borderId="5" xfId="6" applyFill="1" applyBorder="1"/>
    <xf numFmtId="0" fontId="4" fillId="2" borderId="8" xfId="6" applyFill="1" applyBorder="1"/>
    <xf numFmtId="0" fontId="28" fillId="2" borderId="0" xfId="4" applyFont="1" applyFill="1" applyBorder="1"/>
    <xf numFmtId="0" fontId="26" fillId="7" borderId="0" xfId="6" applyFont="1" applyFill="1" applyAlignment="1">
      <alignment horizontal="justify" wrapText="1"/>
    </xf>
    <xf numFmtId="0" fontId="26" fillId="2" borderId="0" xfId="6" applyFont="1" applyFill="1" applyAlignment="1">
      <alignment vertical="center" wrapText="1"/>
    </xf>
    <xf numFmtId="168" fontId="0" fillId="2" borderId="0" xfId="0" applyNumberFormat="1" applyFill="1" applyProtection="1">
      <protection locked="0"/>
    </xf>
    <xf numFmtId="0" fontId="0" fillId="5" borderId="10" xfId="0" applyFill="1" applyBorder="1" applyAlignment="1">
      <alignment horizontal="center"/>
    </xf>
    <xf numFmtId="0" fontId="0" fillId="5" borderId="1" xfId="0" applyFill="1" applyBorder="1" applyAlignment="1">
      <alignment horizontal="center"/>
    </xf>
    <xf numFmtId="165" fontId="0" fillId="5" borderId="13" xfId="0" applyNumberFormat="1" applyFill="1" applyBorder="1" applyAlignment="1">
      <alignment horizontal="center" vertical="center"/>
    </xf>
    <xf numFmtId="0" fontId="0" fillId="5" borderId="3" xfId="0" applyFill="1" applyBorder="1"/>
    <xf numFmtId="0" fontId="0" fillId="5" borderId="4" xfId="0" applyFill="1" applyBorder="1"/>
    <xf numFmtId="0" fontId="0" fillId="5" borderId="0" xfId="0" applyFill="1"/>
    <xf numFmtId="165" fontId="14" fillId="2" borderId="11" xfId="0" applyNumberFormat="1" applyFont="1" applyFill="1" applyBorder="1" applyAlignment="1">
      <alignment horizontal="center"/>
    </xf>
    <xf numFmtId="0" fontId="22" fillId="2" borderId="5" xfId="0" applyFont="1" applyFill="1" applyBorder="1"/>
    <xf numFmtId="0" fontId="22" fillId="2" borderId="2" xfId="0" applyFont="1" applyFill="1" applyBorder="1"/>
    <xf numFmtId="0" fontId="26" fillId="2" borderId="0" xfId="6" applyFont="1" applyFill="1" applyAlignment="1">
      <alignment horizontal="justify" wrapText="1"/>
    </xf>
    <xf numFmtId="170" fontId="8" fillId="2" borderId="0" xfId="0" applyNumberFormat="1" applyFont="1" applyFill="1" applyAlignment="1">
      <alignment horizontal="center"/>
    </xf>
    <xf numFmtId="0" fontId="33" fillId="15" borderId="0" xfId="3" applyFont="1" applyFill="1" applyAlignment="1">
      <alignment horizontal="left" vertical="top"/>
    </xf>
    <xf numFmtId="0" fontId="0" fillId="2" borderId="6" xfId="0" applyFill="1" applyBorder="1" applyAlignment="1">
      <alignment horizontal="justify" vertical="top" wrapText="1"/>
    </xf>
    <xf numFmtId="0" fontId="16" fillId="2" borderId="10" xfId="0" applyFont="1" applyFill="1" applyBorder="1" applyAlignment="1">
      <alignment horizontal="center" vertical="top" wrapText="1"/>
    </xf>
    <xf numFmtId="0" fontId="16" fillId="2" borderId="11" xfId="0" applyFont="1" applyFill="1" applyBorder="1" applyAlignment="1">
      <alignment horizontal="center" vertical="top" wrapText="1"/>
    </xf>
    <xf numFmtId="2" fontId="0" fillId="2" borderId="0" xfId="0" applyNumberFormat="1" applyFill="1"/>
    <xf numFmtId="2" fontId="0" fillId="2" borderId="0" xfId="0" applyNumberFormat="1" applyFill="1" applyAlignment="1">
      <alignment horizontal="center" vertical="top" wrapText="1"/>
    </xf>
    <xf numFmtId="0" fontId="0" fillId="2" borderId="0" xfId="0" applyFill="1" applyAlignment="1">
      <alignment vertical="top" wrapText="1"/>
    </xf>
    <xf numFmtId="0" fontId="0" fillId="2" borderId="7" xfId="0" applyFill="1" applyBorder="1" applyAlignment="1">
      <alignment horizontal="justify" vertical="top" wrapText="1"/>
    </xf>
    <xf numFmtId="0" fontId="16" fillId="2" borderId="0" xfId="0" applyFont="1" applyFill="1" applyAlignment="1">
      <alignment horizontal="center" vertical="top" wrapText="1"/>
    </xf>
    <xf numFmtId="0" fontId="0" fillId="2" borderId="0" xfId="0" applyFill="1" applyAlignment="1">
      <alignment vertical="center" wrapText="1"/>
    </xf>
    <xf numFmtId="165" fontId="0" fillId="2" borderId="9" xfId="0" applyNumberFormat="1" applyFill="1" applyBorder="1" applyAlignment="1">
      <alignment horizontal="center" vertical="top" wrapText="1"/>
    </xf>
    <xf numFmtId="165" fontId="0" fillId="2" borderId="6" xfId="0" applyNumberFormat="1" applyFill="1" applyBorder="1" applyAlignment="1">
      <alignment horizontal="center" vertical="top" wrapText="1"/>
    </xf>
    <xf numFmtId="2" fontId="0" fillId="2" borderId="3" xfId="0" applyNumberFormat="1" applyFill="1" applyBorder="1" applyAlignment="1">
      <alignment horizontal="center" vertical="top" wrapText="1"/>
    </xf>
    <xf numFmtId="2" fontId="0" fillId="2" borderId="4" xfId="0" applyNumberFormat="1" applyFill="1" applyBorder="1" applyAlignment="1">
      <alignment horizontal="center" vertical="top" wrapText="1"/>
    </xf>
    <xf numFmtId="165" fontId="0" fillId="2" borderId="7" xfId="0" applyNumberFormat="1" applyFill="1" applyBorder="1" applyAlignment="1">
      <alignment horizontal="center" vertical="top" wrapText="1"/>
    </xf>
    <xf numFmtId="0" fontId="34" fillId="2" borderId="0" xfId="0" applyFont="1" applyFill="1" applyAlignment="1">
      <alignment vertical="top" wrapText="1"/>
    </xf>
    <xf numFmtId="0" fontId="16" fillId="2" borderId="12" xfId="0" applyFont="1" applyFill="1" applyBorder="1" applyAlignment="1">
      <alignment horizontal="center" vertical="top" wrapText="1"/>
    </xf>
    <xf numFmtId="0" fontId="22" fillId="2" borderId="9" xfId="0" applyFont="1" applyFill="1" applyBorder="1"/>
    <xf numFmtId="0" fontId="0" fillId="2" borderId="17" xfId="0" applyFill="1" applyBorder="1"/>
    <xf numFmtId="0" fontId="22" fillId="5" borderId="2" xfId="0" applyFont="1" applyFill="1" applyBorder="1"/>
    <xf numFmtId="165" fontId="14" fillId="6" borderId="0" xfId="0" applyNumberFormat="1" applyFont="1" applyFill="1" applyAlignment="1">
      <alignment horizontal="center"/>
    </xf>
    <xf numFmtId="168" fontId="8" fillId="2" borderId="0" xfId="0" applyNumberFormat="1" applyFont="1" applyFill="1" applyAlignment="1">
      <alignment horizontal="center"/>
    </xf>
    <xf numFmtId="165" fontId="8" fillId="11" borderId="0" xfId="0" applyNumberFormat="1" applyFont="1" applyFill="1" applyAlignment="1">
      <alignment horizontal="center"/>
    </xf>
    <xf numFmtId="165" fontId="8" fillId="11" borderId="6" xfId="0" applyNumberFormat="1" applyFont="1" applyFill="1" applyBorder="1" applyAlignment="1">
      <alignment horizontal="center"/>
    </xf>
    <xf numFmtId="165" fontId="0" fillId="2" borderId="0" xfId="0" applyNumberFormat="1" applyFill="1" applyAlignment="1">
      <alignment horizontal="center" vertical="top" wrapText="1"/>
    </xf>
    <xf numFmtId="0" fontId="8" fillId="2" borderId="11" xfId="0" applyFont="1" applyFill="1" applyBorder="1" applyAlignment="1">
      <alignment horizontal="center"/>
    </xf>
    <xf numFmtId="169" fontId="8" fillId="2" borderId="0" xfId="0" applyNumberFormat="1" applyFont="1" applyFill="1"/>
    <xf numFmtId="2" fontId="8" fillId="11" borderId="0" xfId="0" applyNumberFormat="1" applyFont="1" applyFill="1" applyAlignment="1">
      <alignment horizontal="center"/>
    </xf>
    <xf numFmtId="2" fontId="8" fillId="11" borderId="6" xfId="0" applyNumberFormat="1" applyFont="1" applyFill="1" applyBorder="1" applyAlignment="1">
      <alignment horizontal="center"/>
    </xf>
    <xf numFmtId="2" fontId="37" fillId="2" borderId="0" xfId="0" applyNumberFormat="1" applyFont="1" applyFill="1" applyAlignment="1">
      <alignment horizontal="center"/>
    </xf>
    <xf numFmtId="2" fontId="14" fillId="2" borderId="0" xfId="0" applyNumberFormat="1" applyFont="1" applyFill="1" applyAlignment="1">
      <alignment horizontal="center"/>
    </xf>
    <xf numFmtId="2" fontId="14" fillId="2" borderId="6" xfId="0" applyNumberFormat="1" applyFont="1" applyFill="1" applyBorder="1" applyAlignment="1">
      <alignment horizontal="center"/>
    </xf>
    <xf numFmtId="165" fontId="8" fillId="13" borderId="0" xfId="0" applyNumberFormat="1" applyFont="1" applyFill="1" applyAlignment="1">
      <alignment horizontal="center"/>
    </xf>
    <xf numFmtId="0" fontId="0" fillId="2" borderId="0" xfId="0" applyFont="1" applyFill="1"/>
    <xf numFmtId="0" fontId="0" fillId="2" borderId="0" xfId="0" applyFill="1" applyBorder="1"/>
    <xf numFmtId="0" fontId="0" fillId="2" borderId="0" xfId="0" applyFill="1" applyBorder="1" applyAlignment="1">
      <alignment horizontal="left" vertical="center" wrapText="1"/>
    </xf>
    <xf numFmtId="0" fontId="0" fillId="2" borderId="8" xfId="0" applyFill="1" applyBorder="1" applyAlignment="1">
      <alignment horizontal="left" vertical="center" wrapText="1"/>
    </xf>
    <xf numFmtId="165" fontId="0" fillId="2" borderId="5" xfId="0" applyNumberFormat="1" applyFill="1" applyBorder="1" applyAlignment="1">
      <alignment horizontal="center" vertical="top" wrapText="1"/>
    </xf>
    <xf numFmtId="165" fontId="0" fillId="2" borderId="0" xfId="0" applyNumberFormat="1" applyFill="1" applyBorder="1" applyAlignment="1">
      <alignment horizontal="center" vertical="top" wrapText="1"/>
    </xf>
    <xf numFmtId="165" fontId="0" fillId="2" borderId="3" xfId="0" applyNumberFormat="1" applyFill="1" applyBorder="1" applyAlignment="1">
      <alignment horizontal="center" vertical="top" wrapText="1"/>
    </xf>
    <xf numFmtId="165" fontId="0" fillId="2" borderId="8" xfId="0" applyNumberFormat="1" applyFill="1" applyBorder="1" applyAlignment="1">
      <alignment horizontal="center" vertical="top" wrapText="1"/>
    </xf>
    <xf numFmtId="0" fontId="0" fillId="2" borderId="5" xfId="0" applyFill="1" applyBorder="1" applyAlignment="1">
      <alignment horizontal="left" vertical="center"/>
    </xf>
    <xf numFmtId="0" fontId="0" fillId="2" borderId="18" xfId="0" applyFill="1" applyBorder="1"/>
    <xf numFmtId="0" fontId="0" fillId="5" borderId="14" xfId="0" quotePrefix="1" applyFill="1" applyBorder="1" applyAlignment="1">
      <alignment horizontal="center" vertical="center"/>
    </xf>
    <xf numFmtId="0" fontId="22" fillId="5" borderId="9" xfId="0" applyFont="1" applyFill="1" applyBorder="1"/>
    <xf numFmtId="165" fontId="0" fillId="5" borderId="9" xfId="0" applyNumberFormat="1" applyFill="1" applyBorder="1" applyAlignment="1">
      <alignment horizontal="center" vertical="center"/>
    </xf>
    <xf numFmtId="0" fontId="0" fillId="2" borderId="1" xfId="0" applyFill="1" applyBorder="1" applyAlignment="1">
      <alignment horizontal="center" vertical="center"/>
    </xf>
    <xf numFmtId="0" fontId="2" fillId="5" borderId="0" xfId="12" applyFill="1"/>
    <xf numFmtId="0" fontId="2" fillId="2" borderId="7" xfId="12" applyFill="1" applyBorder="1"/>
    <xf numFmtId="0" fontId="2" fillId="2" borderId="9" xfId="12" applyFill="1" applyBorder="1"/>
    <xf numFmtId="0" fontId="2" fillId="5" borderId="0" xfId="12" applyFill="1" applyAlignment="1">
      <alignment vertical="top"/>
    </xf>
    <xf numFmtId="0" fontId="2" fillId="2" borderId="8" xfId="12" applyFill="1" applyBorder="1"/>
    <xf numFmtId="0" fontId="2" fillId="2" borderId="5" xfId="12" applyFill="1" applyBorder="1"/>
    <xf numFmtId="0" fontId="26" fillId="2" borderId="0" xfId="12" applyFont="1" applyFill="1" applyAlignment="1">
      <alignment vertical="center" wrapText="1"/>
    </xf>
    <xf numFmtId="0" fontId="26" fillId="2" borderId="0" xfId="12" applyFont="1" applyFill="1" applyAlignment="1">
      <alignment horizontal="justify" wrapText="1"/>
    </xf>
    <xf numFmtId="0" fontId="26" fillId="2" borderId="0" xfId="12" applyFont="1" applyFill="1" applyAlignment="1">
      <alignment horizontal="justify" vertical="top" wrapText="1"/>
    </xf>
    <xf numFmtId="165" fontId="32" fillId="2" borderId="0" xfId="12" applyNumberFormat="1" applyFont="1" applyFill="1" applyAlignment="1">
      <alignment horizontal="center"/>
    </xf>
    <xf numFmtId="0" fontId="26" fillId="2" borderId="0" xfId="12" applyFont="1" applyFill="1" applyAlignment="1">
      <alignment horizontal="justify" vertical="justify" wrapText="1"/>
    </xf>
    <xf numFmtId="165" fontId="32" fillId="4" borderId="0" xfId="12" applyNumberFormat="1" applyFont="1" applyFill="1" applyAlignment="1">
      <alignment horizontal="center"/>
    </xf>
    <xf numFmtId="165" fontId="32" fillId="13" borderId="0" xfId="12" applyNumberFormat="1" applyFont="1" applyFill="1" applyAlignment="1">
      <alignment horizontal="center"/>
    </xf>
    <xf numFmtId="165" fontId="32" fillId="3" borderId="0" xfId="12" applyNumberFormat="1" applyFont="1" applyFill="1" applyAlignment="1">
      <alignment horizontal="center"/>
    </xf>
    <xf numFmtId="0" fontId="26" fillId="8" borderId="0" xfId="12" applyFont="1" applyFill="1"/>
    <xf numFmtId="0" fontId="26" fillId="9" borderId="0" xfId="12" applyFont="1" applyFill="1" applyAlignment="1">
      <alignment horizontal="justify" wrapText="1"/>
    </xf>
    <xf numFmtId="165" fontId="32" fillId="6" borderId="0" xfId="12" applyNumberFormat="1" applyFont="1" applyFill="1" applyAlignment="1">
      <alignment horizontal="center"/>
    </xf>
    <xf numFmtId="0" fontId="26" fillId="2" borderId="0" xfId="12" applyFont="1" applyFill="1" applyAlignment="1">
      <alignment horizontal="left" vertical="center" wrapText="1"/>
    </xf>
    <xf numFmtId="165" fontId="32" fillId="11" borderId="0" xfId="12" applyNumberFormat="1" applyFont="1" applyFill="1" applyAlignment="1">
      <alignment horizontal="center"/>
    </xf>
    <xf numFmtId="165" fontId="32" fillId="5" borderId="0" xfId="12" applyNumberFormat="1" applyFont="1" applyFill="1" applyAlignment="1">
      <alignment horizontal="center"/>
    </xf>
    <xf numFmtId="0" fontId="26" fillId="2" borderId="0" xfId="12" applyFont="1" applyFill="1" applyAlignment="1">
      <alignment horizontal="left" wrapText="1"/>
    </xf>
    <xf numFmtId="0" fontId="2" fillId="5" borderId="0" xfId="12" applyFill="1" applyAlignment="1">
      <alignment vertical="top" wrapText="1"/>
    </xf>
    <xf numFmtId="0" fontId="26" fillId="7" borderId="0" xfId="12" applyFont="1" applyFill="1" applyAlignment="1">
      <alignment horizontal="justify" wrapText="1"/>
    </xf>
    <xf numFmtId="0" fontId="25" fillId="5" borderId="0" xfId="12" applyFont="1" applyFill="1"/>
    <xf numFmtId="0" fontId="26" fillId="2" borderId="0" xfId="12" applyFont="1" applyFill="1"/>
    <xf numFmtId="0" fontId="27" fillId="2" borderId="0" xfId="12" applyFont="1" applyFill="1"/>
    <xf numFmtId="0" fontId="2" fillId="2" borderId="4" xfId="12" applyFill="1" applyBorder="1"/>
    <xf numFmtId="0" fontId="2" fillId="2" borderId="3" xfId="12" applyFill="1" applyBorder="1"/>
    <xf numFmtId="0" fontId="2" fillId="2" borderId="2" xfId="12" applyFill="1" applyBorder="1"/>
    <xf numFmtId="0" fontId="2" fillId="2" borderId="6" xfId="12" applyFill="1" applyBorder="1"/>
    <xf numFmtId="0" fontId="2" fillId="2" borderId="0" xfId="12" applyFill="1"/>
    <xf numFmtId="0" fontId="26" fillId="2" borderId="3" xfId="12" applyFont="1" applyFill="1" applyBorder="1"/>
    <xf numFmtId="0" fontId="0" fillId="2" borderId="0" xfId="0" applyFill="1" applyAlignment="1">
      <alignment horizontal="justify" vertical="top" wrapText="1"/>
    </xf>
    <xf numFmtId="165" fontId="8" fillId="3" borderId="6" xfId="0" applyNumberFormat="1" applyFont="1" applyFill="1" applyBorder="1" applyAlignment="1">
      <alignment horizontal="center"/>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16" fillId="2" borderId="0" xfId="0" applyFont="1" applyFill="1" applyAlignment="1">
      <alignment horizontal="center" vertical="center" wrapText="1"/>
    </xf>
    <xf numFmtId="1" fontId="8" fillId="2" borderId="7" xfId="0" applyNumberFormat="1" applyFont="1" applyFill="1" applyBorder="1" applyAlignment="1" applyProtection="1">
      <alignment horizontal="center"/>
      <protection locked="0"/>
    </xf>
    <xf numFmtId="2" fontId="0" fillId="12" borderId="19" xfId="0" quotePrefix="1" applyNumberFormat="1" applyFill="1" applyBorder="1" applyAlignment="1" applyProtection="1">
      <alignment horizontal="center" vertical="center"/>
      <protection locked="0"/>
    </xf>
    <xf numFmtId="0" fontId="16" fillId="2" borderId="0" xfId="0" applyFont="1" applyFill="1" applyBorder="1"/>
    <xf numFmtId="2" fontId="0" fillId="2" borderId="2" xfId="0" applyNumberFormat="1" applyFill="1" applyBorder="1" applyAlignment="1">
      <alignment horizontal="center" vertical="top" wrapText="1"/>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8" xfId="0" applyFill="1" applyBorder="1" applyAlignment="1">
      <alignment horizontal="left" vertical="center"/>
    </xf>
    <xf numFmtId="0" fontId="0" fillId="2" borderId="3" xfId="0" applyFill="1" applyBorder="1" applyAlignment="1">
      <alignment vertical="center"/>
    </xf>
    <xf numFmtId="2" fontId="0" fillId="2" borderId="0" xfId="0" applyNumberFormat="1" applyFill="1" applyBorder="1" applyAlignment="1">
      <alignment horizontal="center"/>
    </xf>
    <xf numFmtId="0" fontId="22" fillId="2" borderId="0" xfId="0" applyFont="1" applyFill="1" applyBorder="1" applyAlignment="1"/>
    <xf numFmtId="165" fontId="0" fillId="2" borderId="0" xfId="0" applyNumberFormat="1" applyFill="1" applyBorder="1" applyAlignment="1">
      <alignment horizontal="center"/>
    </xf>
    <xf numFmtId="0" fontId="0" fillId="2" borderId="6" xfId="0" applyFill="1" applyBorder="1" applyAlignment="1">
      <alignment horizontal="left" vertical="center"/>
    </xf>
    <xf numFmtId="2" fontId="0" fillId="2" borderId="6" xfId="0" applyNumberFormat="1" applyFill="1" applyBorder="1" applyAlignment="1">
      <alignment horizontal="center"/>
    </xf>
    <xf numFmtId="0" fontId="0" fillId="14" borderId="1" xfId="0" applyFill="1" applyBorder="1" applyAlignment="1">
      <alignment horizontal="center" vertical="center" wrapText="1"/>
    </xf>
    <xf numFmtId="0" fontId="0" fillId="2" borderId="0" xfId="0" applyFill="1" applyBorder="1" applyAlignment="1">
      <alignment vertical="center"/>
    </xf>
    <xf numFmtId="169" fontId="14" fillId="2" borderId="0" xfId="0" applyNumberFormat="1" applyFont="1" applyFill="1" applyAlignment="1" applyProtection="1">
      <alignment horizontal="left"/>
      <protection locked="0"/>
    </xf>
    <xf numFmtId="165" fontId="14" fillId="11" borderId="2" xfId="0" applyNumberFormat="1" applyFont="1" applyFill="1" applyBorder="1" applyAlignment="1" applyProtection="1">
      <alignment horizontal="center"/>
      <protection locked="0"/>
    </xf>
    <xf numFmtId="165" fontId="14" fillId="11" borderId="4" xfId="0" applyNumberFormat="1" applyFont="1" applyFill="1" applyBorder="1" applyAlignment="1" applyProtection="1">
      <alignment horizontal="center"/>
      <protection locked="0"/>
    </xf>
    <xf numFmtId="165" fontId="14" fillId="11" borderId="9" xfId="0" applyNumberFormat="1" applyFont="1" applyFill="1" applyBorder="1" applyAlignment="1" applyProtection="1">
      <alignment horizontal="center"/>
      <protection locked="0"/>
    </xf>
    <xf numFmtId="165" fontId="14" fillId="11" borderId="7" xfId="0" applyNumberFormat="1" applyFont="1" applyFill="1" applyBorder="1" applyAlignment="1" applyProtection="1">
      <alignment horizontal="center"/>
      <protection locked="0"/>
    </xf>
    <xf numFmtId="0" fontId="1" fillId="5" borderId="0" xfId="6" applyFont="1" applyFill="1" applyAlignment="1">
      <alignment vertical="top" wrapText="1"/>
    </xf>
    <xf numFmtId="0" fontId="16" fillId="2" borderId="1" xfId="0" applyFont="1" applyFill="1" applyBorder="1" applyAlignment="1">
      <alignment horizontal="center" vertical="center" wrapText="1"/>
    </xf>
    <xf numFmtId="0" fontId="16" fillId="2" borderId="5" xfId="0" applyFont="1" applyFill="1" applyBorder="1" applyAlignment="1">
      <alignment vertical="center"/>
    </xf>
    <xf numFmtId="0" fontId="16" fillId="2" borderId="5" xfId="0" applyFont="1" applyFill="1" applyBorder="1" applyAlignment="1">
      <alignment horizontal="center" vertical="center" wrapText="1"/>
    </xf>
    <xf numFmtId="0" fontId="26" fillId="2" borderId="0" xfId="6" applyFont="1" applyFill="1" applyAlignment="1">
      <alignment horizontal="justify" vertical="top" wrapText="1"/>
    </xf>
    <xf numFmtId="0" fontId="14" fillId="2" borderId="0" xfId="0" applyFont="1" applyFill="1" applyAlignment="1" applyProtection="1">
      <alignment horizontal="left"/>
      <protection locked="0"/>
    </xf>
    <xf numFmtId="0" fontId="14" fillId="2" borderId="0" xfId="0" applyFont="1" applyFill="1" applyProtection="1">
      <protection locked="0"/>
    </xf>
    <xf numFmtId="0" fontId="12" fillId="2" borderId="0" xfId="0" applyFont="1" applyFill="1" applyProtection="1">
      <protection locked="0"/>
    </xf>
    <xf numFmtId="0" fontId="26" fillId="10" borderId="0" xfId="6" applyFont="1" applyFill="1" applyAlignment="1">
      <alignment horizontal="justify" wrapText="1"/>
    </xf>
    <xf numFmtId="0" fontId="26" fillId="16" borderId="0" xfId="6" applyFont="1" applyFill="1" applyAlignment="1">
      <alignment horizontal="justify" wrapText="1"/>
    </xf>
    <xf numFmtId="0" fontId="38" fillId="2" borderId="0" xfId="0" applyFont="1" applyFill="1" applyAlignment="1">
      <alignment horizontal="left" indent="1"/>
    </xf>
    <xf numFmtId="165" fontId="14" fillId="2" borderId="3" xfId="0" applyNumberFormat="1" applyFont="1" applyFill="1" applyBorder="1" applyAlignment="1">
      <alignment horizontal="center"/>
    </xf>
    <xf numFmtId="0" fontId="0" fillId="0" borderId="0" xfId="0" applyFont="1"/>
    <xf numFmtId="165" fontId="0" fillId="2" borderId="0" xfId="0" applyNumberFormat="1" applyFont="1" applyFill="1" applyAlignment="1">
      <alignment horizontal="center" vertical="center"/>
    </xf>
    <xf numFmtId="0" fontId="0" fillId="2" borderId="0" xfId="0" applyFont="1" applyFill="1" applyAlignment="1">
      <alignment horizontal="center" vertical="top"/>
    </xf>
    <xf numFmtId="0" fontId="0" fillId="18" borderId="0" xfId="0" applyFont="1" applyFill="1" applyAlignment="1">
      <alignment horizontal="center" vertical="top"/>
    </xf>
    <xf numFmtId="0" fontId="0" fillId="18" borderId="0" xfId="0" applyFont="1" applyFill="1" applyAlignment="1">
      <alignment vertical="top"/>
    </xf>
    <xf numFmtId="0" fontId="16" fillId="0" borderId="0" xfId="0" applyFont="1" applyFill="1" applyAlignment="1">
      <alignment horizontal="left" vertical="center"/>
    </xf>
    <xf numFmtId="0" fontId="39" fillId="17" borderId="0" xfId="0" applyFont="1" applyFill="1" applyAlignment="1">
      <alignment horizontal="left" vertical="center"/>
    </xf>
    <xf numFmtId="0" fontId="0" fillId="17" borderId="0" xfId="0" applyFont="1" applyFill="1" applyAlignment="1">
      <alignment vertical="top"/>
    </xf>
    <xf numFmtId="0" fontId="18" fillId="17" borderId="0" xfId="0" applyFont="1" applyFill="1" applyAlignment="1">
      <alignment horizontal="center" vertical="top"/>
    </xf>
    <xf numFmtId="0" fontId="18" fillId="17" borderId="0" xfId="0" applyFont="1" applyFill="1" applyAlignment="1">
      <alignment horizontal="center"/>
    </xf>
    <xf numFmtId="0" fontId="40" fillId="17" borderId="0" xfId="0" applyFont="1" applyFill="1" applyAlignment="1">
      <alignment horizontal="center" vertical="center" wrapText="1"/>
    </xf>
    <xf numFmtId="0" fontId="39" fillId="17" borderId="0" xfId="0" applyFont="1" applyFill="1" applyAlignment="1">
      <alignment horizontal="center" vertical="center" wrapText="1"/>
    </xf>
    <xf numFmtId="0" fontId="35" fillId="18" borderId="0" xfId="0" applyFont="1" applyFill="1" applyAlignment="1">
      <alignment horizontal="left" vertical="top" wrapText="1"/>
    </xf>
    <xf numFmtId="0" fontId="21" fillId="18" borderId="0" xfId="0" applyFont="1" applyFill="1" applyAlignment="1">
      <alignment horizontal="center"/>
    </xf>
    <xf numFmtId="0" fontId="0" fillId="18" borderId="0" xfId="0" applyFont="1" applyFill="1" applyAlignment="1">
      <alignment horizontal="left"/>
    </xf>
    <xf numFmtId="0" fontId="35" fillId="18" borderId="0" xfId="0" applyFont="1" applyFill="1" applyAlignment="1">
      <alignment horizontal="left" vertical="top" wrapText="1" indent="1"/>
    </xf>
    <xf numFmtId="0" fontId="35" fillId="18" borderId="0" xfId="0" applyFont="1" applyFill="1" applyAlignment="1">
      <alignment vertical="top"/>
    </xf>
    <xf numFmtId="0" fontId="35" fillId="18" borderId="0" xfId="0" applyFont="1" applyFill="1" applyAlignment="1">
      <alignment horizontal="left" wrapText="1"/>
    </xf>
    <xf numFmtId="0" fontId="0" fillId="17" borderId="0" xfId="0" applyFont="1" applyFill="1"/>
    <xf numFmtId="1" fontId="39" fillId="17" borderId="0" xfId="0" applyNumberFormat="1" applyFont="1" applyFill="1" applyAlignment="1">
      <alignment horizontal="center" vertical="center" wrapText="1"/>
    </xf>
    <xf numFmtId="2" fontId="0" fillId="2" borderId="0" xfId="0" applyNumberFormat="1" applyFont="1" applyFill="1" applyAlignment="1">
      <alignment horizontal="center" vertical="center"/>
    </xf>
    <xf numFmtId="165" fontId="21" fillId="2" borderId="0" xfId="0" applyNumberFormat="1" applyFont="1" applyFill="1" applyAlignment="1">
      <alignment horizontal="center" vertical="center"/>
    </xf>
    <xf numFmtId="0" fontId="21" fillId="2" borderId="0" xfId="0" applyFont="1" applyFill="1" applyAlignment="1">
      <alignment horizontal="center" vertical="center"/>
    </xf>
    <xf numFmtId="0" fontId="0" fillId="2" borderId="0" xfId="0" applyFont="1" applyFill="1" applyAlignment="1">
      <alignment vertical="top"/>
    </xf>
    <xf numFmtId="0" fontId="16" fillId="2" borderId="0" xfId="0" applyFont="1" applyFill="1" applyAlignment="1">
      <alignment horizontal="left" vertical="center"/>
    </xf>
    <xf numFmtId="0" fontId="0" fillId="18" borderId="0" xfId="0" applyFont="1" applyFill="1" applyAlignment="1">
      <alignment horizontal="center"/>
    </xf>
    <xf numFmtId="165" fontId="21" fillId="0" borderId="0" xfId="0" applyNumberFormat="1" applyFont="1" applyAlignment="1">
      <alignment horizontal="center" vertical="center"/>
    </xf>
    <xf numFmtId="0" fontId="42" fillId="2" borderId="0" xfId="0" applyFont="1" applyFill="1" applyAlignment="1">
      <alignment vertical="center" wrapText="1"/>
    </xf>
    <xf numFmtId="165" fontId="8" fillId="2" borderId="0" xfId="0" applyNumberFormat="1" applyFont="1" applyFill="1" applyAlignment="1">
      <alignment horizontal="center" vertical="center"/>
    </xf>
    <xf numFmtId="0" fontId="26" fillId="2" borderId="0" xfId="12" applyFont="1" applyFill="1" applyAlignment="1">
      <alignment horizontal="justify" vertical="top" wrapText="1"/>
    </xf>
    <xf numFmtId="0" fontId="26" fillId="19" borderId="0" xfId="6" applyFont="1" applyFill="1" applyAlignment="1">
      <alignment horizontal="justify" wrapText="1"/>
    </xf>
    <xf numFmtId="0" fontId="43" fillId="2" borderId="0" xfId="0" applyFont="1" applyFill="1" applyAlignment="1">
      <alignment vertical="center" wrapText="1"/>
    </xf>
    <xf numFmtId="0" fontId="35" fillId="2" borderId="0" xfId="0" applyFont="1" applyFill="1"/>
    <xf numFmtId="0" fontId="21" fillId="2" borderId="0" xfId="0" applyFont="1" applyFill="1" applyAlignment="1">
      <alignment horizontal="center"/>
    </xf>
    <xf numFmtId="165" fontId="21" fillId="2" borderId="0" xfId="0" applyNumberFormat="1" applyFont="1" applyFill="1" applyAlignment="1">
      <alignment horizontal="center"/>
    </xf>
    <xf numFmtId="0" fontId="34" fillId="2" borderId="0" xfId="0" quotePrefix="1" applyFont="1" applyFill="1" applyAlignment="1">
      <alignment horizontal="center" vertical="center"/>
    </xf>
    <xf numFmtId="165" fontId="14" fillId="2" borderId="0" xfId="0" applyNumberFormat="1" applyFont="1" applyFill="1" applyAlignment="1" applyProtection="1">
      <alignment horizontal="left"/>
      <protection locked="0"/>
    </xf>
    <xf numFmtId="1" fontId="14" fillId="20" borderId="0" xfId="0" applyNumberFormat="1" applyFont="1" applyFill="1" applyAlignment="1" applyProtection="1">
      <alignment horizontal="center"/>
      <protection locked="0"/>
    </xf>
    <xf numFmtId="0" fontId="26" fillId="2" borderId="0" xfId="12" applyFont="1" applyFill="1" applyAlignment="1">
      <alignment horizontal="justify" vertical="top" wrapText="1"/>
    </xf>
    <xf numFmtId="0" fontId="4" fillId="2" borderId="5" xfId="6" applyFill="1" applyBorder="1" applyAlignment="1">
      <alignment vertical="center"/>
    </xf>
    <xf numFmtId="0" fontId="26" fillId="7" borderId="0" xfId="6" applyFont="1" applyFill="1" applyAlignment="1">
      <alignment horizontal="justify" vertical="center" wrapText="1"/>
    </xf>
    <xf numFmtId="0" fontId="26" fillId="12" borderId="19" xfId="6" applyFont="1" applyFill="1" applyBorder="1" applyAlignment="1">
      <alignment vertical="center" wrapText="1"/>
    </xf>
    <xf numFmtId="0" fontId="4" fillId="2" borderId="8" xfId="6" applyFill="1" applyBorder="1" applyAlignment="1">
      <alignment vertical="center"/>
    </xf>
    <xf numFmtId="0" fontId="26" fillId="2" borderId="13" xfId="6" applyFont="1" applyFill="1" applyBorder="1" applyAlignment="1">
      <alignment vertical="center" wrapText="1"/>
    </xf>
    <xf numFmtId="0" fontId="26" fillId="5" borderId="0" xfId="6" applyFont="1" applyFill="1" applyBorder="1" applyAlignment="1">
      <alignment vertical="center" wrapText="1"/>
    </xf>
    <xf numFmtId="0" fontId="26" fillId="2" borderId="0" xfId="6" applyFont="1" applyFill="1" applyAlignment="1">
      <alignment horizontal="justify" vertical="center" wrapText="1"/>
    </xf>
    <xf numFmtId="0" fontId="2" fillId="5" borderId="0" xfId="12" applyFill="1" applyAlignment="1">
      <alignment vertical="center"/>
    </xf>
    <xf numFmtId="0" fontId="2" fillId="5" borderId="0" xfId="12" applyFill="1" applyAlignment="1">
      <alignment vertical="center" wrapText="1"/>
    </xf>
    <xf numFmtId="2" fontId="0" fillId="2" borderId="10" xfId="0" applyNumberFormat="1" applyFill="1" applyBorder="1" applyAlignment="1">
      <alignment horizontal="center"/>
    </xf>
    <xf numFmtId="165" fontId="0" fillId="2" borderId="11" xfId="0" applyNumberFormat="1" applyFill="1" applyBorder="1" applyAlignment="1">
      <alignment horizontal="center" vertical="top" wrapText="1"/>
    </xf>
    <xf numFmtId="0" fontId="26" fillId="21" borderId="3" xfId="6" applyFont="1" applyFill="1" applyBorder="1" applyAlignment="1">
      <alignment vertical="center" wrapText="1"/>
    </xf>
    <xf numFmtId="2" fontId="21" fillId="2" borderId="0" xfId="0" applyNumberFormat="1" applyFont="1" applyFill="1"/>
    <xf numFmtId="165" fontId="0" fillId="2" borderId="12" xfId="0" applyNumberFormat="1" applyFill="1" applyBorder="1" applyAlignment="1">
      <alignment horizontal="center" vertical="top" wrapText="1"/>
    </xf>
    <xf numFmtId="0" fontId="26" fillId="2" borderId="0" xfId="12" applyFont="1" applyFill="1" applyAlignment="1">
      <alignment horizontal="justify" vertical="top" wrapText="1"/>
    </xf>
    <xf numFmtId="0" fontId="27" fillId="2" borderId="0" xfId="12" applyFont="1" applyFill="1" applyAlignment="1">
      <alignment horizontal="justify" vertical="justify" wrapText="1"/>
    </xf>
    <xf numFmtId="0" fontId="26" fillId="2" borderId="0" xfId="12" applyFont="1" applyFill="1" applyAlignment="1">
      <alignment horizontal="justify" vertical="justify" wrapText="1"/>
    </xf>
    <xf numFmtId="0" fontId="26" fillId="2" borderId="0" xfId="6" applyFont="1" applyFill="1" applyAlignment="1">
      <alignment horizontal="justify" vertical="top" wrapText="1"/>
    </xf>
    <xf numFmtId="0" fontId="26" fillId="2" borderId="20" xfId="6" applyFont="1" applyFill="1" applyBorder="1" applyAlignment="1">
      <alignment horizontal="left" vertical="center" wrapText="1"/>
    </xf>
    <xf numFmtId="0" fontId="26" fillId="2" borderId="0" xfId="6" applyFont="1" applyFill="1" applyAlignment="1">
      <alignment horizontal="left" vertical="center" wrapText="1"/>
    </xf>
    <xf numFmtId="0" fontId="26" fillId="2" borderId="0" xfId="6" applyFont="1" applyFill="1" applyBorder="1" applyAlignment="1">
      <alignment horizontal="left" vertical="center" wrapText="1"/>
    </xf>
    <xf numFmtId="0" fontId="26" fillId="2" borderId="0" xfId="6" applyFont="1" applyFill="1" applyAlignment="1">
      <alignment horizontal="justify" vertical="center" wrapText="1"/>
    </xf>
    <xf numFmtId="0" fontId="26" fillId="2" borderId="0" xfId="12" applyFont="1" applyFill="1" applyAlignment="1">
      <alignment horizontal="left" vertical="top" wrapText="1"/>
    </xf>
    <xf numFmtId="0" fontId="26" fillId="2" borderId="0" xfId="12" applyFont="1" applyFill="1" applyAlignment="1">
      <alignment horizontal="justify" vertical="center" wrapText="1"/>
    </xf>
    <xf numFmtId="0" fontId="26" fillId="2" borderId="6" xfId="12" applyFont="1" applyFill="1" applyBorder="1" applyAlignment="1">
      <alignment horizontal="justify" vertical="top" wrapText="1"/>
    </xf>
    <xf numFmtId="0" fontId="26" fillId="2" borderId="0" xfId="12" applyFont="1" applyFill="1" applyAlignment="1">
      <alignment horizontal="left" vertical="center" wrapText="1"/>
    </xf>
    <xf numFmtId="0" fontId="16" fillId="2" borderId="10" xfId="0" applyFont="1" applyFill="1" applyBorder="1" applyAlignment="1">
      <alignment horizontal="center"/>
    </xf>
    <xf numFmtId="0" fontId="16" fillId="2" borderId="11" xfId="0" applyFont="1" applyFill="1" applyBorder="1" applyAlignment="1">
      <alignment horizontal="center"/>
    </xf>
    <xf numFmtId="0" fontId="16" fillId="2" borderId="12" xfId="0" applyFont="1" applyFill="1" applyBorder="1" applyAlignment="1">
      <alignment horizontal="center"/>
    </xf>
    <xf numFmtId="0" fontId="16" fillId="2" borderId="9" xfId="0" applyFont="1" applyFill="1" applyBorder="1" applyAlignment="1">
      <alignment horizontal="center" vertical="center"/>
    </xf>
    <xf numFmtId="0" fontId="16" fillId="2" borderId="7" xfId="0" applyFont="1" applyFill="1" applyBorder="1" applyAlignment="1">
      <alignment horizontal="center" vertical="center"/>
    </xf>
    <xf numFmtId="0" fontId="16" fillId="5" borderId="10"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35" fillId="2" borderId="3" xfId="0" applyFont="1" applyFill="1" applyBorder="1" applyAlignment="1">
      <alignment horizontal="justify" vertical="top" wrapText="1"/>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36" fillId="2" borderId="10" xfId="0" applyFont="1" applyFill="1" applyBorder="1" applyAlignment="1">
      <alignment horizontal="center" vertical="center" wrapText="1"/>
    </xf>
    <xf numFmtId="0" fontId="36" fillId="2" borderId="11"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0" fillId="2" borderId="5" xfId="0" applyFill="1" applyBorder="1" applyAlignment="1">
      <alignment horizontal="left" vertical="center"/>
    </xf>
    <xf numFmtId="0" fontId="0" fillId="2" borderId="0" xfId="0" applyFill="1" applyBorder="1" applyAlignment="1">
      <alignment horizontal="left" vertical="center"/>
    </xf>
    <xf numFmtId="0" fontId="0" fillId="2" borderId="8" xfId="0" applyFill="1" applyBorder="1" applyAlignment="1">
      <alignment horizontal="left" vertical="center"/>
    </xf>
    <xf numFmtId="0" fontId="16" fillId="2" borderId="14"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0" fillId="2" borderId="3" xfId="0" applyFill="1" applyBorder="1" applyAlignment="1">
      <alignment horizontal="justify" vertical="top"/>
    </xf>
    <xf numFmtId="0" fontId="16" fillId="2" borderId="10" xfId="0" applyFont="1" applyFill="1" applyBorder="1" applyAlignment="1">
      <alignment horizontal="center" vertical="center"/>
    </xf>
    <xf numFmtId="0" fontId="36" fillId="2" borderId="0" xfId="0" applyFont="1" applyFill="1" applyAlignment="1">
      <alignment horizontal="center" vertical="center" wrapText="1"/>
    </xf>
    <xf numFmtId="0" fontId="43" fillId="2" borderId="5" xfId="0" applyFont="1" applyFill="1" applyBorder="1" applyAlignment="1">
      <alignment horizontal="left" vertical="center" wrapText="1" indent="1"/>
    </xf>
    <xf numFmtId="0" fontId="43" fillId="2" borderId="0" xfId="0" applyFont="1" applyFill="1" applyAlignment="1">
      <alignment horizontal="left" vertical="center" wrapText="1" indent="1"/>
    </xf>
    <xf numFmtId="0" fontId="16" fillId="2" borderId="5" xfId="0" applyFont="1" applyFill="1" applyBorder="1" applyAlignment="1">
      <alignment horizontal="center" vertical="center" wrapText="1"/>
    </xf>
    <xf numFmtId="0" fontId="16" fillId="2" borderId="0" xfId="0" applyFont="1" applyFill="1" applyBorder="1" applyAlignment="1">
      <alignment horizontal="center" vertical="center" wrapText="1"/>
    </xf>
  </cellXfs>
  <cellStyles count="14">
    <cellStyle name="Hyperlink 2" xfId="4" xr:uid="{00000000-0005-0000-0000-000000000000}"/>
    <cellStyle name="Normal" xfId="0" builtinId="0"/>
    <cellStyle name="Normal 2" xfId="3" xr:uid="{00000000-0005-0000-0000-000002000000}"/>
    <cellStyle name="Normal 2 2" xfId="5" xr:uid="{00000000-0005-0000-0000-000003000000}"/>
    <cellStyle name="Normal 2 2 2" xfId="6" xr:uid="{00000000-0005-0000-0000-000004000000}"/>
    <cellStyle name="Normal 2 2 2 2" xfId="11" xr:uid="{D0E23963-54C4-40C3-A08B-C51BBEBC5911}"/>
    <cellStyle name="Normal 2 2 2 3" xfId="12" xr:uid="{E686E16B-8FF5-42A3-854C-C9783938C00C}"/>
    <cellStyle name="Normal 2 2 3" xfId="10" xr:uid="{8E0939B2-890A-4E4A-9A67-9A990C4259EA}"/>
    <cellStyle name="Normal 2 3" xfId="9" xr:uid="{6D6AF9E9-B81E-4C25-8D2A-8C5EC56A28D7}"/>
    <cellStyle name="Normal 4 5" xfId="13" xr:uid="{961F5BD5-E2A8-4CCD-93A3-2FC6DE1553AE}"/>
    <cellStyle name="Normal 5" xfId="2" xr:uid="{00000000-0005-0000-0000-000005000000}"/>
    <cellStyle name="Normal 5 2" xfId="8" xr:uid="{BE5ABAF7-F156-47EA-94C7-F5604FBB16A1}"/>
    <cellStyle name="Normal 6" xfId="1" xr:uid="{00000000-0005-0000-0000-000006000000}"/>
    <cellStyle name="Normal 6 2" xfId="7" xr:uid="{D760FB6E-0ACD-4E7B-8A23-51253FCE930B}"/>
  </cellStyles>
  <dxfs count="15">
    <dxf>
      <font>
        <color theme="0"/>
      </font>
      <fill>
        <patternFill>
          <bgColor theme="0"/>
        </patternFill>
      </fill>
    </dxf>
    <dxf>
      <font>
        <color theme="0"/>
      </font>
      <fill>
        <patternFill>
          <bgColor theme="0"/>
        </patternFill>
      </fill>
    </dxf>
    <dxf>
      <font>
        <color theme="0"/>
      </font>
      <fill>
        <patternFill>
          <bgColor theme="0"/>
        </patternFill>
      </fill>
      <border>
        <left/>
        <right/>
        <top/>
        <bottom/>
      </border>
    </dxf>
    <dxf>
      <font>
        <color theme="0"/>
      </font>
      <fill>
        <patternFill patternType="solid">
          <bgColor theme="0"/>
        </patternFill>
      </fill>
      <border>
        <left/>
        <right/>
        <top/>
        <bottom/>
        <vertical/>
        <horizontal/>
      </border>
    </dxf>
    <dxf>
      <fill>
        <patternFill>
          <bgColor theme="0" tint="-0.14996795556505021"/>
        </patternFill>
      </fill>
    </dxf>
    <dxf>
      <font>
        <color theme="0"/>
      </font>
      <fill>
        <patternFill>
          <bgColor theme="0"/>
        </patternFill>
      </fill>
      <border>
        <left/>
        <right/>
        <top/>
        <bottom/>
      </border>
    </dxf>
    <dxf>
      <fill>
        <patternFill>
          <bgColor theme="0" tint="-0.14996795556505021"/>
        </patternFill>
      </fill>
    </dxf>
    <dxf>
      <font>
        <color theme="0"/>
      </font>
      <fill>
        <patternFill>
          <bgColor theme="0"/>
        </patternFill>
      </fill>
      <border>
        <left/>
        <right/>
        <top/>
        <bottom/>
      </border>
    </dxf>
    <dxf>
      <font>
        <b/>
        <i val="0"/>
        <color rgb="FF00B050"/>
      </font>
    </dxf>
    <dxf>
      <font>
        <b/>
        <i val="0"/>
        <color rgb="FF00B050"/>
      </font>
    </dxf>
    <dxf>
      <font>
        <color theme="5" tint="-0.499984740745262"/>
      </font>
      <fill>
        <patternFill>
          <bgColor rgb="FFFFC7CE"/>
        </patternFill>
      </fill>
    </dxf>
    <dxf>
      <font>
        <color rgb="FF9C0006"/>
      </font>
      <fill>
        <patternFill>
          <bgColor rgb="FFFFC7CE"/>
        </patternFill>
      </fill>
    </dxf>
    <dxf>
      <border>
        <left style="thin">
          <color auto="1"/>
        </left>
        <right/>
        <top/>
        <bottom/>
        <vertical/>
        <horizontal/>
      </border>
    </dxf>
    <dxf>
      <font>
        <strike val="0"/>
        <color theme="0"/>
      </font>
      <fill>
        <patternFill>
          <bgColor theme="0"/>
        </patternFill>
      </fill>
    </dxf>
    <dxf>
      <border>
        <left/>
        <right/>
        <top/>
        <bottom/>
        <vertical/>
        <horizontal/>
      </border>
    </dxf>
  </dxfs>
  <tableStyles count="0" defaultTableStyle="TableStyleMedium2" defaultPivotStyle="PivotStyleLight16"/>
  <colors>
    <mruColors>
      <color rgb="FFFFFFCC"/>
      <color rgb="FFF8A8ED"/>
      <color rgb="FFFFC7CE"/>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88354</xdr:colOff>
      <xdr:row>1</xdr:row>
      <xdr:rowOff>121091</xdr:rowOff>
    </xdr:from>
    <xdr:ext cx="2061795" cy="1405859"/>
    <xdr:pic>
      <xdr:nvPicPr>
        <xdr:cNvPr id="2" name="Picture 1">
          <a:extLst>
            <a:ext uri="{FF2B5EF4-FFF2-40B4-BE49-F238E27FC236}">
              <a16:creationId xmlns:a16="http://schemas.microsoft.com/office/drawing/2014/main" id="{83A349C9-0BCF-4E6E-A9EB-6BA36A335C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7479" y="283016"/>
          <a:ext cx="2061795" cy="140585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6</xdr:col>
      <xdr:colOff>94775</xdr:colOff>
      <xdr:row>4</xdr:row>
      <xdr:rowOff>47630</xdr:rowOff>
    </xdr:from>
    <xdr:to>
      <xdr:col>6</xdr:col>
      <xdr:colOff>597697</xdr:colOff>
      <xdr:row>6</xdr:row>
      <xdr:rowOff>146691</xdr:rowOff>
    </xdr:to>
    <xdr:sp macro="" textlink="">
      <xdr:nvSpPr>
        <xdr:cNvPr id="3" name="Arrow: Down 2">
          <a:extLst>
            <a:ext uri="{FF2B5EF4-FFF2-40B4-BE49-F238E27FC236}">
              <a16:creationId xmlns:a16="http://schemas.microsoft.com/office/drawing/2014/main" id="{7C5B919F-58C7-4F8B-84BA-C890F1B08B6D}"/>
            </a:ext>
          </a:extLst>
        </xdr:cNvPr>
        <xdr:cNvSpPr/>
      </xdr:nvSpPr>
      <xdr:spPr>
        <a:xfrm rot="5400000">
          <a:off x="5190174" y="691044"/>
          <a:ext cx="456249" cy="502922"/>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vert="vert270" lIns="0" tIns="72000" bIns="252000" rtlCol="0" anchor="t"/>
        <a:lstStyle/>
        <a:p>
          <a:pPr algn="l"/>
          <a:r>
            <a:rPr lang="en-IE" sz="1300" b="1"/>
            <a:t>2</a:t>
          </a:r>
        </a:p>
      </xdr:txBody>
    </xdr:sp>
    <xdr:clientData/>
  </xdr:twoCellAnchor>
  <xdr:twoCellAnchor>
    <xdr:from>
      <xdr:col>6</xdr:col>
      <xdr:colOff>97153</xdr:colOff>
      <xdr:row>5</xdr:row>
      <xdr:rowOff>50004</xdr:rowOff>
    </xdr:from>
    <xdr:to>
      <xdr:col>6</xdr:col>
      <xdr:colOff>600075</xdr:colOff>
      <xdr:row>7</xdr:row>
      <xdr:rowOff>149066</xdr:rowOff>
    </xdr:to>
    <xdr:sp macro="" textlink="">
      <xdr:nvSpPr>
        <xdr:cNvPr id="2" name="Arrow: Down 1">
          <a:extLst>
            <a:ext uri="{FF2B5EF4-FFF2-40B4-BE49-F238E27FC236}">
              <a16:creationId xmlns:a16="http://schemas.microsoft.com/office/drawing/2014/main" id="{3D2C05E0-A88D-48E7-9ADA-73E5BB4E2E1F}"/>
            </a:ext>
          </a:extLst>
        </xdr:cNvPr>
        <xdr:cNvSpPr/>
      </xdr:nvSpPr>
      <xdr:spPr>
        <a:xfrm rot="5400000">
          <a:off x="5192552" y="872012"/>
          <a:ext cx="456249" cy="502922"/>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vert="vert270" lIns="0" rtlCol="0" anchor="t"/>
        <a:lstStyle/>
        <a:p>
          <a:pPr algn="l"/>
          <a:r>
            <a:rPr lang="en-IE" sz="1400" b="1"/>
            <a:t>1</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13B7DC54-38DF-4F97-8302-BDF605CAF2E1}">
  <we:reference id="dc57e6d2-28bf-4130-be1a-5961fe0ee311" version="1.0.0.0" store="https://eceuropaeu.sharepoint.com/sites/AppCatalog" storeType="SPCatalog"/>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CFIN-Secretariat-C2@ec.europa.e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CC6A2-7519-4767-918E-DF19313B0E34}">
  <sheetPr codeName="Sheet17">
    <tabColor theme="1"/>
  </sheetPr>
  <dimension ref="B2:V72"/>
  <sheetViews>
    <sheetView tabSelected="1" zoomScaleNormal="100" workbookViewId="0"/>
  </sheetViews>
  <sheetFormatPr defaultColWidth="9.28515625" defaultRowHeight="15" x14ac:dyDescent="0.25"/>
  <cols>
    <col min="1" max="3" width="9.28515625" style="206"/>
    <col min="4" max="4" width="7.28515625" style="206" customWidth="1"/>
    <col min="5" max="5" width="6.140625" style="206" customWidth="1"/>
    <col min="6" max="6" width="3.140625" style="206" customWidth="1"/>
    <col min="7" max="13" width="9.28515625" style="206"/>
    <col min="14" max="14" width="18.140625" style="206" customWidth="1"/>
    <col min="15" max="16384" width="9.28515625" style="206"/>
  </cols>
  <sheetData>
    <row r="2" spans="2:12" x14ac:dyDescent="0.25">
      <c r="B2" s="234"/>
      <c r="C2" s="233"/>
      <c r="D2" s="233"/>
      <c r="E2" s="233"/>
      <c r="F2" s="233"/>
      <c r="G2" s="237"/>
      <c r="H2" s="233"/>
      <c r="I2" s="233"/>
      <c r="J2" s="233"/>
      <c r="K2" s="233"/>
      <c r="L2" s="232"/>
    </row>
    <row r="3" spans="2:12" x14ac:dyDescent="0.25">
      <c r="B3" s="211"/>
      <c r="C3" s="236"/>
      <c r="D3" s="236"/>
      <c r="E3" s="236"/>
      <c r="F3" s="236"/>
      <c r="G3" s="230"/>
      <c r="H3" s="236"/>
      <c r="I3" s="236"/>
      <c r="J3" s="236"/>
      <c r="K3" s="236"/>
      <c r="L3" s="210"/>
    </row>
    <row r="4" spans="2:12" x14ac:dyDescent="0.25">
      <c r="B4" s="211"/>
      <c r="C4" s="236"/>
      <c r="D4" s="236"/>
      <c r="E4" s="236"/>
      <c r="F4" s="236"/>
      <c r="G4" s="231" t="s">
        <v>0</v>
      </c>
      <c r="H4" s="236"/>
      <c r="I4" s="236"/>
      <c r="J4" s="236"/>
      <c r="K4" s="236"/>
      <c r="L4" s="210"/>
    </row>
    <row r="5" spans="2:12" x14ac:dyDescent="0.25">
      <c r="B5" s="211"/>
      <c r="C5" s="236"/>
      <c r="D5" s="236"/>
      <c r="E5" s="236"/>
      <c r="F5" s="236"/>
      <c r="G5" s="230"/>
      <c r="H5" s="236"/>
      <c r="I5" s="236"/>
      <c r="J5" s="236"/>
      <c r="K5" s="236"/>
      <c r="L5" s="210"/>
    </row>
    <row r="6" spans="2:12" x14ac:dyDescent="0.25">
      <c r="B6" s="211"/>
      <c r="C6" s="236"/>
      <c r="D6" s="236"/>
      <c r="E6" s="236"/>
      <c r="F6" s="236"/>
      <c r="G6" s="230" t="s">
        <v>1</v>
      </c>
      <c r="H6" s="236"/>
      <c r="I6" s="236"/>
      <c r="J6" s="236"/>
      <c r="K6" s="236"/>
      <c r="L6" s="210"/>
    </row>
    <row r="7" spans="2:12" x14ac:dyDescent="0.25">
      <c r="B7" s="211"/>
      <c r="C7" s="236"/>
      <c r="D7" s="236"/>
      <c r="E7" s="236"/>
      <c r="F7" s="236"/>
      <c r="G7" s="230" t="s">
        <v>2</v>
      </c>
      <c r="H7" s="236"/>
      <c r="I7" s="236"/>
      <c r="J7" s="236"/>
      <c r="K7" s="236"/>
      <c r="L7" s="210"/>
    </row>
    <row r="8" spans="2:12" x14ac:dyDescent="0.25">
      <c r="B8" s="211"/>
      <c r="C8" s="236"/>
      <c r="D8" s="236"/>
      <c r="E8" s="236"/>
      <c r="F8" s="236"/>
      <c r="G8" s="144" t="s">
        <v>3</v>
      </c>
      <c r="H8" s="236"/>
      <c r="I8" s="236"/>
      <c r="J8" s="236"/>
      <c r="K8" s="236"/>
      <c r="L8" s="210"/>
    </row>
    <row r="9" spans="2:12" x14ac:dyDescent="0.25">
      <c r="B9" s="211"/>
      <c r="C9" s="236"/>
      <c r="D9" s="236"/>
      <c r="E9" s="236"/>
      <c r="F9" s="236"/>
      <c r="G9" s="230"/>
      <c r="H9" s="236"/>
      <c r="I9" s="236"/>
      <c r="J9" s="236"/>
      <c r="K9" s="236"/>
      <c r="L9" s="210"/>
    </row>
    <row r="10" spans="2:12" x14ac:dyDescent="0.25">
      <c r="B10" s="211"/>
      <c r="C10" s="236"/>
      <c r="D10" s="236"/>
      <c r="E10" s="236"/>
      <c r="F10" s="236"/>
      <c r="G10" s="230"/>
      <c r="H10" s="236"/>
      <c r="I10" s="236"/>
      <c r="J10" s="236"/>
      <c r="K10" s="236"/>
      <c r="L10" s="210"/>
    </row>
    <row r="11" spans="2:12" x14ac:dyDescent="0.25">
      <c r="B11" s="208"/>
      <c r="C11" s="235"/>
      <c r="D11" s="235"/>
      <c r="E11" s="235"/>
      <c r="F11" s="235"/>
      <c r="G11" s="235"/>
      <c r="H11" s="235"/>
      <c r="I11" s="235"/>
      <c r="J11" s="235"/>
      <c r="K11" s="235"/>
      <c r="L11" s="207"/>
    </row>
    <row r="15" spans="2:12" x14ac:dyDescent="0.25">
      <c r="B15" s="234"/>
      <c r="C15" s="233"/>
      <c r="D15" s="233"/>
      <c r="E15" s="233"/>
      <c r="F15" s="233"/>
      <c r="G15" s="233"/>
      <c r="H15" s="233"/>
      <c r="I15" s="233"/>
      <c r="J15" s="233"/>
      <c r="K15" s="233"/>
      <c r="L15" s="232"/>
    </row>
    <row r="16" spans="2:12" x14ac:dyDescent="0.25">
      <c r="B16" s="211"/>
      <c r="C16" s="231" t="s">
        <v>4</v>
      </c>
      <c r="D16" s="230"/>
      <c r="E16" s="230"/>
      <c r="F16" s="230"/>
      <c r="G16" s="230"/>
      <c r="H16" s="230"/>
      <c r="I16" s="230"/>
      <c r="J16" s="230"/>
      <c r="K16" s="230"/>
      <c r="L16" s="210"/>
    </row>
    <row r="17" spans="2:14" x14ac:dyDescent="0.25">
      <c r="B17" s="211"/>
      <c r="C17" s="230"/>
      <c r="D17" s="230"/>
      <c r="E17" s="230"/>
      <c r="F17" s="230"/>
      <c r="G17" s="231"/>
      <c r="H17" s="230"/>
      <c r="I17" s="230"/>
      <c r="J17" s="230"/>
      <c r="K17" s="230"/>
      <c r="L17" s="210"/>
    </row>
    <row r="18" spans="2:14" ht="15" customHeight="1" x14ac:dyDescent="0.25">
      <c r="B18" s="211"/>
      <c r="C18" s="328" t="s">
        <v>187</v>
      </c>
      <c r="D18" s="328"/>
      <c r="E18" s="328"/>
      <c r="F18" s="328"/>
      <c r="G18" s="328"/>
      <c r="H18" s="328"/>
      <c r="I18" s="328"/>
      <c r="J18" s="328"/>
      <c r="K18" s="328"/>
      <c r="L18" s="210"/>
    </row>
    <row r="19" spans="2:14" x14ac:dyDescent="0.25">
      <c r="B19" s="211"/>
      <c r="C19" s="328"/>
      <c r="D19" s="328"/>
      <c r="E19" s="328"/>
      <c r="F19" s="328"/>
      <c r="G19" s="328"/>
      <c r="H19" s="328"/>
      <c r="I19" s="328"/>
      <c r="J19" s="328"/>
      <c r="K19" s="328"/>
      <c r="L19" s="210"/>
    </row>
    <row r="20" spans="2:14" x14ac:dyDescent="0.25">
      <c r="B20" s="211"/>
      <c r="C20" s="328"/>
      <c r="D20" s="328"/>
      <c r="E20" s="328"/>
      <c r="F20" s="328"/>
      <c r="G20" s="328"/>
      <c r="H20" s="328"/>
      <c r="I20" s="328"/>
      <c r="J20" s="328"/>
      <c r="K20" s="328"/>
      <c r="L20" s="210"/>
    </row>
    <row r="21" spans="2:14" ht="9" customHeight="1" x14ac:dyDescent="0.25">
      <c r="B21" s="211"/>
      <c r="C21" s="230"/>
      <c r="D21" s="230"/>
      <c r="E21" s="230"/>
      <c r="F21" s="230"/>
      <c r="G21" s="230"/>
      <c r="H21" s="230"/>
      <c r="I21" s="230"/>
      <c r="J21" s="230"/>
      <c r="K21" s="230"/>
      <c r="L21" s="210"/>
    </row>
    <row r="22" spans="2:14" ht="15" customHeight="1" x14ac:dyDescent="0.25">
      <c r="B22" s="211"/>
      <c r="C22" s="328" t="s">
        <v>176</v>
      </c>
      <c r="D22" s="328"/>
      <c r="E22" s="328"/>
      <c r="F22" s="328"/>
      <c r="G22" s="328"/>
      <c r="H22" s="328"/>
      <c r="I22" s="328"/>
      <c r="J22" s="328"/>
      <c r="K22" s="328"/>
      <c r="L22" s="210"/>
    </row>
    <row r="23" spans="2:14" x14ac:dyDescent="0.25">
      <c r="B23" s="211"/>
      <c r="C23" s="328"/>
      <c r="D23" s="328"/>
      <c r="E23" s="328"/>
      <c r="F23" s="328"/>
      <c r="G23" s="328"/>
      <c r="H23" s="328"/>
      <c r="I23" s="328"/>
      <c r="J23" s="328"/>
      <c r="K23" s="328"/>
      <c r="L23" s="210"/>
    </row>
    <row r="24" spans="2:14" x14ac:dyDescent="0.25">
      <c r="B24" s="211"/>
      <c r="C24" s="328"/>
      <c r="D24" s="328"/>
      <c r="E24" s="328"/>
      <c r="F24" s="328"/>
      <c r="G24" s="328"/>
      <c r="H24" s="328"/>
      <c r="I24" s="328"/>
      <c r="J24" s="328"/>
      <c r="K24" s="328"/>
      <c r="L24" s="210"/>
    </row>
    <row r="25" spans="2:14" ht="37.9" customHeight="1" x14ac:dyDescent="0.25">
      <c r="B25" s="211"/>
      <c r="C25" s="328"/>
      <c r="D25" s="328"/>
      <c r="E25" s="328"/>
      <c r="F25" s="328"/>
      <c r="G25" s="328"/>
      <c r="H25" s="328"/>
      <c r="I25" s="328"/>
      <c r="J25" s="328"/>
      <c r="K25" s="328"/>
      <c r="L25" s="210"/>
      <c r="N25" s="209"/>
    </row>
    <row r="26" spans="2:14" x14ac:dyDescent="0.25">
      <c r="B26" s="211"/>
      <c r="C26" s="213"/>
      <c r="D26" s="213"/>
      <c r="E26" s="213"/>
      <c r="F26" s="213"/>
      <c r="G26" s="213"/>
      <c r="H26" s="213"/>
      <c r="I26" s="213"/>
      <c r="J26" s="213"/>
      <c r="K26" s="213"/>
      <c r="L26" s="210"/>
    </row>
    <row r="27" spans="2:14" x14ac:dyDescent="0.25">
      <c r="B27" s="211"/>
      <c r="C27" s="329" t="s">
        <v>5</v>
      </c>
      <c r="D27" s="329"/>
      <c r="E27" s="329"/>
      <c r="F27" s="329"/>
      <c r="G27" s="329"/>
      <c r="H27" s="329"/>
      <c r="I27" s="329"/>
      <c r="J27" s="329"/>
      <c r="K27" s="329"/>
      <c r="L27" s="210"/>
    </row>
    <row r="28" spans="2:14" x14ac:dyDescent="0.25">
      <c r="B28" s="211"/>
      <c r="C28" s="216"/>
      <c r="D28" s="216"/>
      <c r="E28" s="216"/>
      <c r="F28" s="216"/>
      <c r="G28" s="216"/>
      <c r="H28" s="216"/>
      <c r="I28" s="216"/>
      <c r="J28" s="216"/>
      <c r="K28" s="216"/>
      <c r="L28" s="210"/>
    </row>
    <row r="29" spans="2:14" ht="230.1" customHeight="1" x14ac:dyDescent="0.25">
      <c r="B29" s="211"/>
      <c r="C29" s="328" t="s">
        <v>201</v>
      </c>
      <c r="D29" s="328"/>
      <c r="E29" s="328"/>
      <c r="F29" s="328"/>
      <c r="G29" s="328"/>
      <c r="H29" s="328"/>
      <c r="I29" s="328"/>
      <c r="J29" s="328"/>
      <c r="K29" s="328"/>
      <c r="L29" s="210"/>
    </row>
    <row r="30" spans="2:14" x14ac:dyDescent="0.25">
      <c r="B30" s="211"/>
      <c r="C30" s="216"/>
      <c r="D30" s="216"/>
      <c r="E30" s="216"/>
      <c r="F30" s="216"/>
      <c r="G30" s="216"/>
      <c r="H30" s="216"/>
      <c r="I30" s="216"/>
      <c r="J30" s="216"/>
      <c r="K30" s="216"/>
      <c r="L30" s="210"/>
      <c r="N30" s="229"/>
    </row>
    <row r="31" spans="2:14" x14ac:dyDescent="0.25">
      <c r="B31" s="211"/>
      <c r="C31" s="330" t="s">
        <v>6</v>
      </c>
      <c r="D31" s="330"/>
      <c r="E31" s="330"/>
      <c r="F31" s="330"/>
      <c r="G31" s="330"/>
      <c r="H31" s="330"/>
      <c r="I31" s="330"/>
      <c r="J31" s="330"/>
      <c r="K31" s="330"/>
      <c r="L31" s="210"/>
    </row>
    <row r="32" spans="2:14" x14ac:dyDescent="0.25">
      <c r="B32" s="211"/>
      <c r="C32" s="213"/>
      <c r="D32" s="226"/>
      <c r="E32" s="226"/>
      <c r="F32" s="226"/>
      <c r="G32" s="226"/>
      <c r="H32" s="226"/>
      <c r="I32" s="226"/>
      <c r="J32" s="226"/>
      <c r="K32" s="226"/>
      <c r="L32" s="210"/>
    </row>
    <row r="33" spans="2:14" ht="33" customHeight="1" thickBot="1" x14ac:dyDescent="0.3">
      <c r="B33" s="142"/>
      <c r="C33" s="145"/>
      <c r="D33" s="331" t="s">
        <v>194</v>
      </c>
      <c r="E33" s="331"/>
      <c r="F33" s="331"/>
      <c r="G33" s="331"/>
      <c r="H33" s="331"/>
      <c r="I33" s="331"/>
      <c r="J33" s="331"/>
      <c r="K33" s="331"/>
      <c r="L33" s="143"/>
      <c r="N33" s="227"/>
    </row>
    <row r="34" spans="2:14" ht="50.1" customHeight="1" thickTop="1" thickBot="1" x14ac:dyDescent="0.3">
      <c r="B34" s="314"/>
      <c r="C34" s="315"/>
      <c r="D34" s="146"/>
      <c r="E34" s="316"/>
      <c r="F34" s="332" t="s">
        <v>197</v>
      </c>
      <c r="G34" s="333"/>
      <c r="H34" s="333"/>
      <c r="I34" s="333"/>
      <c r="J34" s="333"/>
      <c r="K34" s="333"/>
      <c r="L34" s="317"/>
      <c r="N34" s="227"/>
    </row>
    <row r="35" spans="2:14" s="321" customFormat="1" ht="50.1" customHeight="1" thickTop="1" x14ac:dyDescent="0.2">
      <c r="B35" s="314"/>
      <c r="C35" s="315"/>
      <c r="D35" s="146"/>
      <c r="E35" s="318"/>
      <c r="F35" s="334" t="s">
        <v>202</v>
      </c>
      <c r="G35" s="334"/>
      <c r="H35" s="334"/>
      <c r="I35" s="334"/>
      <c r="J35" s="334"/>
      <c r="K35" s="334"/>
      <c r="L35" s="317"/>
      <c r="N35" s="322"/>
    </row>
    <row r="36" spans="2:14" s="321" customFormat="1" ht="50.1" customHeight="1" x14ac:dyDescent="0.2">
      <c r="B36" s="314"/>
      <c r="C36" s="315"/>
      <c r="D36" s="146"/>
      <c r="E36" s="325"/>
      <c r="F36" s="334"/>
      <c r="G36" s="334"/>
      <c r="H36" s="334"/>
      <c r="I36" s="334"/>
      <c r="J36" s="334"/>
      <c r="K36" s="334"/>
      <c r="L36" s="317"/>
      <c r="N36" s="322"/>
    </row>
    <row r="37" spans="2:14" ht="66" customHeight="1" x14ac:dyDescent="0.25">
      <c r="B37" s="314"/>
      <c r="C37" s="315"/>
      <c r="D37" s="146"/>
      <c r="E37" s="319"/>
      <c r="F37" s="334" t="s">
        <v>198</v>
      </c>
      <c r="G37" s="333"/>
      <c r="H37" s="333"/>
      <c r="I37" s="333"/>
      <c r="J37" s="333"/>
      <c r="K37" s="333"/>
      <c r="L37" s="317"/>
      <c r="N37" s="227"/>
    </row>
    <row r="38" spans="2:14" ht="15" customHeight="1" x14ac:dyDescent="0.25">
      <c r="B38" s="211"/>
      <c r="C38" s="228"/>
      <c r="D38" s="313"/>
      <c r="E38" s="313"/>
      <c r="F38" s="313"/>
      <c r="G38" s="313"/>
      <c r="H38" s="313"/>
      <c r="I38" s="313"/>
      <c r="J38" s="313"/>
      <c r="K38" s="313"/>
      <c r="L38" s="210"/>
      <c r="N38" s="227"/>
    </row>
    <row r="39" spans="2:14" ht="126" customHeight="1" x14ac:dyDescent="0.25">
      <c r="B39" s="211"/>
      <c r="C39" s="228"/>
      <c r="D39" s="328" t="s">
        <v>211</v>
      </c>
      <c r="E39" s="328"/>
      <c r="F39" s="328"/>
      <c r="G39" s="328"/>
      <c r="H39" s="328"/>
      <c r="I39" s="328"/>
      <c r="J39" s="328"/>
      <c r="K39" s="328"/>
      <c r="L39" s="210"/>
      <c r="N39" s="227"/>
    </row>
    <row r="40" spans="2:14" ht="85.5" customHeight="1" x14ac:dyDescent="0.25">
      <c r="B40" s="211"/>
      <c r="C40" s="228"/>
      <c r="D40" s="328" t="s">
        <v>212</v>
      </c>
      <c r="E40" s="328"/>
      <c r="F40" s="328"/>
      <c r="G40" s="328"/>
      <c r="H40" s="328"/>
      <c r="I40" s="328"/>
      <c r="J40" s="328"/>
      <c r="K40" s="328"/>
      <c r="L40" s="210"/>
      <c r="N40" s="227"/>
    </row>
    <row r="41" spans="2:14" ht="55.5" customHeight="1" x14ac:dyDescent="0.25">
      <c r="B41" s="211"/>
      <c r="C41" s="228"/>
      <c r="D41" s="328" t="s">
        <v>207</v>
      </c>
      <c r="E41" s="328"/>
      <c r="F41" s="328"/>
      <c r="G41" s="328"/>
      <c r="H41" s="328"/>
      <c r="I41" s="328"/>
      <c r="J41" s="328"/>
      <c r="K41" s="328"/>
      <c r="L41" s="210"/>
      <c r="N41" s="227"/>
    </row>
    <row r="42" spans="2:14" ht="113.25" customHeight="1" x14ac:dyDescent="0.25">
      <c r="B42" s="211"/>
      <c r="C42" s="228"/>
      <c r="D42" s="328" t="s">
        <v>208</v>
      </c>
      <c r="E42" s="328"/>
      <c r="F42" s="328"/>
      <c r="G42" s="328"/>
      <c r="H42" s="328"/>
      <c r="I42" s="328"/>
      <c r="J42" s="328"/>
      <c r="K42" s="328"/>
      <c r="L42" s="210"/>
      <c r="N42" s="227"/>
    </row>
    <row r="43" spans="2:14" ht="98.25" customHeight="1" x14ac:dyDescent="0.25">
      <c r="B43" s="211"/>
      <c r="C43" s="228"/>
      <c r="D43" s="328" t="s">
        <v>209</v>
      </c>
      <c r="E43" s="328"/>
      <c r="F43" s="328"/>
      <c r="G43" s="328"/>
      <c r="H43" s="328"/>
      <c r="I43" s="328"/>
      <c r="J43" s="328"/>
      <c r="K43" s="328"/>
      <c r="L43" s="210"/>
      <c r="N43" s="227"/>
    </row>
    <row r="44" spans="2:14" ht="71.25" customHeight="1" x14ac:dyDescent="0.25">
      <c r="B44" s="211"/>
      <c r="C44" s="228"/>
      <c r="D44" s="328" t="s">
        <v>210</v>
      </c>
      <c r="E44" s="328"/>
      <c r="F44" s="328"/>
      <c r="G44" s="328"/>
      <c r="H44" s="328"/>
      <c r="I44" s="328"/>
      <c r="J44" s="328"/>
      <c r="K44" s="328"/>
      <c r="L44" s="210"/>
      <c r="N44" s="227"/>
    </row>
    <row r="45" spans="2:14" x14ac:dyDescent="0.25">
      <c r="B45" s="211"/>
      <c r="C45" s="213"/>
      <c r="D45" s="226"/>
      <c r="E45" s="226"/>
      <c r="F45" s="226"/>
      <c r="G45" s="226"/>
      <c r="H45" s="226"/>
      <c r="I45" s="226"/>
      <c r="J45" s="226"/>
      <c r="K45" s="226"/>
      <c r="L45" s="210"/>
    </row>
    <row r="46" spans="2:14" ht="61.9" customHeight="1" x14ac:dyDescent="0.25">
      <c r="B46" s="211"/>
      <c r="C46" s="221"/>
      <c r="D46" s="328" t="s">
        <v>139</v>
      </c>
      <c r="E46" s="328"/>
      <c r="F46" s="328"/>
      <c r="G46" s="328"/>
      <c r="H46" s="328"/>
      <c r="I46" s="328"/>
      <c r="J46" s="328"/>
      <c r="K46" s="328"/>
      <c r="L46" s="210"/>
    </row>
    <row r="47" spans="2:14" ht="32.450000000000003" customHeight="1" x14ac:dyDescent="0.25">
      <c r="B47" s="211"/>
      <c r="C47" s="221"/>
      <c r="D47" s="328" t="s">
        <v>7</v>
      </c>
      <c r="E47" s="328"/>
      <c r="F47" s="328"/>
      <c r="G47" s="328"/>
      <c r="H47" s="328"/>
      <c r="I47" s="328"/>
      <c r="J47" s="328"/>
      <c r="K47" s="328"/>
      <c r="L47" s="210"/>
    </row>
    <row r="48" spans="2:14" ht="33.6" customHeight="1" x14ac:dyDescent="0.25">
      <c r="B48" s="211"/>
      <c r="C48" s="221"/>
      <c r="D48" s="223"/>
      <c r="E48" s="219"/>
      <c r="F48" s="337" t="s">
        <v>119</v>
      </c>
      <c r="G48" s="337"/>
      <c r="H48" s="337"/>
      <c r="I48" s="337"/>
      <c r="J48" s="337"/>
      <c r="K48" s="337"/>
      <c r="L48" s="210"/>
    </row>
    <row r="49" spans="2:22" ht="32.25" customHeight="1" x14ac:dyDescent="0.25">
      <c r="B49" s="211"/>
      <c r="C49" s="221"/>
      <c r="D49" s="223"/>
      <c r="E49" s="225"/>
      <c r="F49" s="337" t="s">
        <v>177</v>
      </c>
      <c r="G49" s="337"/>
      <c r="H49" s="337"/>
      <c r="I49" s="337"/>
      <c r="J49" s="337"/>
      <c r="K49" s="337"/>
      <c r="L49" s="210"/>
    </row>
    <row r="50" spans="2:22" ht="92.25" customHeight="1" x14ac:dyDescent="0.25">
      <c r="B50" s="211"/>
      <c r="C50" s="221"/>
      <c r="D50" s="223"/>
      <c r="E50" s="224"/>
      <c r="F50" s="337" t="s">
        <v>8</v>
      </c>
      <c r="G50" s="337"/>
      <c r="H50" s="337"/>
      <c r="I50" s="337"/>
      <c r="J50" s="337"/>
      <c r="K50" s="337"/>
      <c r="L50" s="210"/>
    </row>
    <row r="51" spans="2:22" ht="23.25" customHeight="1" x14ac:dyDescent="0.25">
      <c r="B51" s="211"/>
      <c r="C51" s="221"/>
      <c r="D51" s="223"/>
      <c r="E51" s="222"/>
      <c r="F51" s="337" t="s">
        <v>9</v>
      </c>
      <c r="G51" s="337"/>
      <c r="H51" s="337"/>
      <c r="I51" s="337"/>
      <c r="J51" s="337"/>
      <c r="K51" s="337"/>
      <c r="L51" s="210"/>
    </row>
    <row r="52" spans="2:22" ht="45.75" customHeight="1" x14ac:dyDescent="0.25">
      <c r="B52" s="211"/>
      <c r="C52" s="221"/>
      <c r="D52" s="328" t="s">
        <v>178</v>
      </c>
      <c r="E52" s="328"/>
      <c r="F52" s="328"/>
      <c r="G52" s="328"/>
      <c r="H52" s="328"/>
      <c r="I52" s="328"/>
      <c r="J52" s="328"/>
      <c r="K52" s="328"/>
      <c r="L52" s="210"/>
    </row>
    <row r="53" spans="2:22" x14ac:dyDescent="0.25">
      <c r="B53" s="211"/>
      <c r="C53" s="213"/>
      <c r="D53" s="213"/>
      <c r="E53" s="213"/>
      <c r="F53" s="213"/>
      <c r="G53" s="213"/>
      <c r="H53" s="213"/>
      <c r="I53" s="213"/>
      <c r="J53" s="213"/>
      <c r="K53" s="213"/>
      <c r="L53" s="210"/>
    </row>
    <row r="54" spans="2:22" s="141" customFormat="1" ht="82.5" customHeight="1" x14ac:dyDescent="0.25">
      <c r="B54" s="142"/>
      <c r="C54" s="331" t="s">
        <v>147</v>
      </c>
      <c r="D54" s="331"/>
      <c r="E54" s="331"/>
      <c r="F54" s="331"/>
      <c r="G54" s="331"/>
      <c r="H54" s="331"/>
      <c r="I54" s="331"/>
      <c r="J54" s="331"/>
      <c r="K54" s="331"/>
      <c r="L54" s="143"/>
      <c r="N54" s="206"/>
      <c r="O54" s="206"/>
      <c r="P54" s="206"/>
      <c r="Q54" s="206"/>
      <c r="R54" s="206"/>
      <c r="S54" s="206"/>
      <c r="T54" s="206"/>
      <c r="U54" s="206"/>
      <c r="V54" s="206"/>
    </row>
    <row r="55" spans="2:22" s="141" customFormat="1" x14ac:dyDescent="0.25">
      <c r="B55" s="142"/>
      <c r="C55" s="157"/>
      <c r="D55" s="267"/>
      <c r="E55" s="267"/>
      <c r="F55" s="267"/>
      <c r="G55" s="267"/>
      <c r="H55" s="267"/>
      <c r="I55" s="267"/>
      <c r="J55" s="267"/>
      <c r="K55" s="267"/>
      <c r="L55" s="143"/>
      <c r="N55" s="263"/>
    </row>
    <row r="56" spans="2:22" s="141" customFormat="1" ht="48" customHeight="1" x14ac:dyDescent="0.25">
      <c r="B56" s="142"/>
      <c r="C56" s="271"/>
      <c r="D56" s="335" t="s">
        <v>217</v>
      </c>
      <c r="E56" s="335"/>
      <c r="F56" s="335"/>
      <c r="G56" s="335"/>
      <c r="H56" s="335"/>
      <c r="I56" s="335"/>
      <c r="J56" s="335"/>
      <c r="K56" s="335"/>
      <c r="L56" s="143"/>
      <c r="N56" s="263"/>
    </row>
    <row r="57" spans="2:22" s="141" customFormat="1" x14ac:dyDescent="0.25">
      <c r="B57" s="142"/>
      <c r="C57" s="157"/>
      <c r="D57" s="320"/>
      <c r="E57" s="320"/>
      <c r="F57" s="320"/>
      <c r="G57" s="320"/>
      <c r="H57" s="320"/>
      <c r="I57" s="320"/>
      <c r="J57" s="320"/>
      <c r="K57" s="320"/>
      <c r="L57" s="143"/>
      <c r="N57" s="263"/>
    </row>
    <row r="58" spans="2:22" s="141" customFormat="1" ht="47.25" customHeight="1" x14ac:dyDescent="0.25">
      <c r="B58" s="142"/>
      <c r="C58" s="272"/>
      <c r="D58" s="335" t="s">
        <v>141</v>
      </c>
      <c r="E58" s="335"/>
      <c r="F58" s="335"/>
      <c r="G58" s="335"/>
      <c r="H58" s="335"/>
      <c r="I58" s="335"/>
      <c r="J58" s="335"/>
      <c r="K58" s="335"/>
      <c r="L58" s="143"/>
      <c r="N58" s="263"/>
    </row>
    <row r="59" spans="2:22" s="141" customFormat="1" x14ac:dyDescent="0.25">
      <c r="B59" s="142"/>
      <c r="C59" s="157"/>
      <c r="D59" s="320"/>
      <c r="E59" s="320"/>
      <c r="F59" s="320"/>
      <c r="G59" s="320"/>
      <c r="H59" s="320"/>
      <c r="I59" s="320"/>
      <c r="J59" s="320"/>
      <c r="K59" s="320"/>
      <c r="L59" s="143"/>
    </row>
    <row r="60" spans="2:22" ht="65.25" customHeight="1" x14ac:dyDescent="0.25">
      <c r="B60" s="211"/>
      <c r="C60" s="220"/>
      <c r="D60" s="337" t="s">
        <v>145</v>
      </c>
      <c r="E60" s="337"/>
      <c r="F60" s="337"/>
      <c r="G60" s="337"/>
      <c r="H60" s="337"/>
      <c r="I60" s="337"/>
      <c r="J60" s="337"/>
      <c r="K60" s="337"/>
      <c r="L60" s="210"/>
    </row>
    <row r="61" spans="2:22" s="141" customFormat="1" x14ac:dyDescent="0.25">
      <c r="B61" s="142"/>
      <c r="C61" s="157"/>
      <c r="D61" s="157"/>
      <c r="E61" s="157"/>
      <c r="F61" s="157"/>
      <c r="G61" s="157"/>
      <c r="H61" s="157"/>
      <c r="I61" s="157"/>
      <c r="J61" s="157"/>
      <c r="K61" s="157"/>
      <c r="L61" s="143"/>
    </row>
    <row r="62" spans="2:22" ht="46.15" customHeight="1" x14ac:dyDescent="0.25">
      <c r="B62" s="211"/>
      <c r="C62" s="336" t="s">
        <v>146</v>
      </c>
      <c r="D62" s="336"/>
      <c r="E62" s="336"/>
      <c r="F62" s="336"/>
      <c r="G62" s="336"/>
      <c r="H62" s="336"/>
      <c r="I62" s="336"/>
      <c r="J62" s="336"/>
      <c r="K62" s="336"/>
      <c r="L62" s="210"/>
    </row>
    <row r="63" spans="2:22" ht="46.15" customHeight="1" x14ac:dyDescent="0.25">
      <c r="B63" s="211"/>
      <c r="C63" s="213"/>
      <c r="D63" s="219"/>
      <c r="E63" s="339" t="s">
        <v>125</v>
      </c>
      <c r="F63" s="339"/>
      <c r="G63" s="339"/>
      <c r="H63" s="339"/>
      <c r="I63" s="339"/>
      <c r="J63" s="339"/>
      <c r="K63" s="339"/>
      <c r="L63" s="210"/>
    </row>
    <row r="64" spans="2:22" ht="45.6" customHeight="1" x14ac:dyDescent="0.25">
      <c r="B64" s="211"/>
      <c r="C64" s="213"/>
      <c r="D64" s="218"/>
      <c r="E64" s="339" t="s">
        <v>140</v>
      </c>
      <c r="F64" s="339"/>
      <c r="G64" s="339"/>
      <c r="H64" s="339"/>
      <c r="I64" s="339"/>
      <c r="J64" s="339"/>
      <c r="K64" s="339"/>
      <c r="L64" s="210"/>
    </row>
    <row r="65" spans="2:14" ht="45" customHeight="1" x14ac:dyDescent="0.25">
      <c r="B65" s="211"/>
      <c r="C65" s="213"/>
      <c r="D65" s="217"/>
      <c r="E65" s="339" t="s">
        <v>117</v>
      </c>
      <c r="F65" s="339"/>
      <c r="G65" s="339"/>
      <c r="H65" s="339"/>
      <c r="I65" s="339"/>
      <c r="J65" s="339"/>
      <c r="K65" s="339"/>
      <c r="L65" s="210"/>
    </row>
    <row r="66" spans="2:14" x14ac:dyDescent="0.25">
      <c r="B66" s="211"/>
      <c r="C66" s="213"/>
      <c r="D66" s="215"/>
      <c r="E66" s="215"/>
      <c r="F66" s="214"/>
      <c r="G66" s="214"/>
      <c r="H66" s="214"/>
      <c r="I66" s="214"/>
      <c r="J66" s="214"/>
      <c r="K66" s="214"/>
      <c r="L66" s="210"/>
    </row>
    <row r="67" spans="2:14" x14ac:dyDescent="0.25">
      <c r="B67" s="211"/>
      <c r="C67" s="213"/>
      <c r="D67" s="212"/>
      <c r="E67" s="212"/>
      <c r="F67" s="212"/>
      <c r="G67" s="212"/>
      <c r="H67" s="212"/>
      <c r="I67" s="212"/>
      <c r="J67" s="212"/>
      <c r="K67" s="212"/>
      <c r="L67" s="210"/>
    </row>
    <row r="68" spans="2:14" ht="17.45" customHeight="1" x14ac:dyDescent="0.25">
      <c r="B68" s="211"/>
      <c r="C68" s="329" t="s">
        <v>10</v>
      </c>
      <c r="D68" s="329"/>
      <c r="E68" s="329"/>
      <c r="F68" s="329"/>
      <c r="G68" s="329"/>
      <c r="H68" s="329"/>
      <c r="I68" s="329"/>
      <c r="J68" s="329"/>
      <c r="K68" s="329"/>
      <c r="L68" s="210"/>
    </row>
    <row r="69" spans="2:14" ht="30" customHeight="1" x14ac:dyDescent="0.25">
      <c r="B69" s="211"/>
      <c r="C69" s="328" t="s">
        <v>203</v>
      </c>
      <c r="D69" s="328"/>
      <c r="E69" s="328"/>
      <c r="F69" s="328"/>
      <c r="G69" s="328"/>
      <c r="H69" s="328"/>
      <c r="I69" s="328"/>
      <c r="J69" s="328"/>
      <c r="K69" s="328"/>
      <c r="L69" s="210"/>
      <c r="N69" s="209"/>
    </row>
    <row r="70" spans="2:14" ht="15" customHeight="1" x14ac:dyDescent="0.25">
      <c r="B70" s="211"/>
      <c r="C70" s="304"/>
      <c r="D70" s="304"/>
      <c r="E70" s="304"/>
      <c r="F70" s="304"/>
      <c r="G70" s="304"/>
      <c r="H70" s="304"/>
      <c r="I70" s="304"/>
      <c r="J70" s="304"/>
      <c r="K70" s="304"/>
      <c r="L70" s="210"/>
      <c r="N70" s="209"/>
    </row>
    <row r="71" spans="2:14" ht="105" customHeight="1" x14ac:dyDescent="0.25">
      <c r="B71" s="211"/>
      <c r="C71" s="305"/>
      <c r="D71" s="331" t="s">
        <v>204</v>
      </c>
      <c r="E71" s="331"/>
      <c r="F71" s="331"/>
      <c r="G71" s="331"/>
      <c r="H71" s="331"/>
      <c r="I71" s="331"/>
      <c r="J71" s="331"/>
      <c r="K71" s="331"/>
      <c r="L71" s="210"/>
      <c r="N71" s="209"/>
    </row>
    <row r="72" spans="2:14" x14ac:dyDescent="0.25">
      <c r="B72" s="208"/>
      <c r="C72" s="338"/>
      <c r="D72" s="338"/>
      <c r="E72" s="338"/>
      <c r="F72" s="338"/>
      <c r="G72" s="338"/>
      <c r="H72" s="338"/>
      <c r="I72" s="338"/>
      <c r="J72" s="338"/>
      <c r="K72" s="338"/>
      <c r="L72" s="207"/>
    </row>
  </sheetData>
  <mergeCells count="34">
    <mergeCell ref="D71:K71"/>
    <mergeCell ref="C68:K68"/>
    <mergeCell ref="C69:K69"/>
    <mergeCell ref="C72:K72"/>
    <mergeCell ref="D60:K60"/>
    <mergeCell ref="E63:K63"/>
    <mergeCell ref="E64:K64"/>
    <mergeCell ref="E65:K65"/>
    <mergeCell ref="D47:K47"/>
    <mergeCell ref="F48:K48"/>
    <mergeCell ref="F49:K49"/>
    <mergeCell ref="F50:K50"/>
    <mergeCell ref="F51:K51"/>
    <mergeCell ref="D52:K52"/>
    <mergeCell ref="C54:K54"/>
    <mergeCell ref="D56:K56"/>
    <mergeCell ref="D58:K58"/>
    <mergeCell ref="C62:K62"/>
    <mergeCell ref="D41:K41"/>
    <mergeCell ref="D44:K44"/>
    <mergeCell ref="D46:K46"/>
    <mergeCell ref="C18:K20"/>
    <mergeCell ref="C22:K25"/>
    <mergeCell ref="C27:K27"/>
    <mergeCell ref="C29:K29"/>
    <mergeCell ref="C31:K31"/>
    <mergeCell ref="D39:K39"/>
    <mergeCell ref="D42:K42"/>
    <mergeCell ref="D43:K43"/>
    <mergeCell ref="D33:K33"/>
    <mergeCell ref="F34:K34"/>
    <mergeCell ref="F35:K36"/>
    <mergeCell ref="F37:K37"/>
    <mergeCell ref="D40:K40"/>
  </mergeCells>
  <hyperlinks>
    <hyperlink ref="G8" r:id="rId1" xr:uid="{514B8F5D-48FA-4646-BB6A-B8A1732DB7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BE0D0-D2DD-463B-BF84-FF947CA2FC7F}">
  <sheetPr codeName="Sheet14">
    <tabColor theme="0" tint="-0.14999847407452621"/>
  </sheetPr>
  <dimension ref="C2:V152"/>
  <sheetViews>
    <sheetView zoomScale="80" zoomScaleNormal="80" workbookViewId="0"/>
  </sheetViews>
  <sheetFormatPr defaultColWidth="8.7109375" defaultRowHeight="12.75" x14ac:dyDescent="0.2"/>
  <cols>
    <col min="1" max="3" width="8.7109375" style="4"/>
    <col min="4" max="5" width="17.7109375" style="4" customWidth="1"/>
    <col min="6" max="6" width="16.42578125" style="4" customWidth="1"/>
    <col min="7" max="7" width="20.7109375" style="4" customWidth="1"/>
    <col min="8" max="8" width="21.140625" style="4" customWidth="1"/>
    <col min="9" max="9" width="22" style="4" customWidth="1"/>
    <col min="10" max="10" width="25" style="4" customWidth="1"/>
    <col min="11" max="16" width="20.7109375" style="4" customWidth="1"/>
    <col min="17" max="17" width="8.7109375" style="4" customWidth="1"/>
    <col min="18" max="20" width="8.7109375" style="4"/>
    <col min="21" max="21" width="8.7109375" style="87"/>
    <col min="22" max="22" width="8.7109375" style="326"/>
    <col min="23" max="16384" width="8.7109375" style="4"/>
  </cols>
  <sheetData>
    <row r="2" spans="3:22" x14ac:dyDescent="0.2">
      <c r="U2" s="87">
        <v>4</v>
      </c>
      <c r="V2" s="326">
        <v>-1.5</v>
      </c>
    </row>
    <row r="3" spans="3:22" ht="12.75" customHeight="1" x14ac:dyDescent="0.2">
      <c r="D3" s="340" t="s">
        <v>118</v>
      </c>
      <c r="E3" s="341"/>
      <c r="F3" s="342"/>
      <c r="H3" s="302"/>
      <c r="I3" s="302"/>
      <c r="J3" s="302"/>
      <c r="K3" s="302"/>
      <c r="U3" s="87">
        <v>7</v>
      </c>
      <c r="V3" s="326">
        <v>-1.48</v>
      </c>
    </row>
    <row r="4" spans="3:22" ht="13.5" customHeight="1" thickBot="1" x14ac:dyDescent="0.25">
      <c r="D4" s="156" t="s">
        <v>11</v>
      </c>
      <c r="E4" s="7"/>
      <c r="F4" s="29" t="s">
        <v>116</v>
      </c>
      <c r="H4" s="302"/>
      <c r="I4" s="302"/>
      <c r="J4" s="302"/>
      <c r="K4" s="302"/>
      <c r="V4" s="326">
        <v>-1.46</v>
      </c>
    </row>
    <row r="5" spans="3:22" ht="14.25" customHeight="1" thickTop="1" thickBot="1" x14ac:dyDescent="0.25">
      <c r="D5" s="155" t="s">
        <v>196</v>
      </c>
      <c r="E5" s="193"/>
      <c r="F5" s="139">
        <v>4</v>
      </c>
      <c r="H5" s="302"/>
      <c r="I5" s="302"/>
      <c r="J5" s="302"/>
      <c r="K5" s="302"/>
      <c r="V5" s="326">
        <v>-1.44</v>
      </c>
    </row>
    <row r="6" spans="3:22" ht="14.45" customHeight="1" thickTop="1" thickBot="1" x14ac:dyDescent="0.25">
      <c r="C6" s="310" t="s">
        <v>189</v>
      </c>
      <c r="D6" s="155" t="s">
        <v>128</v>
      </c>
      <c r="E6" s="201"/>
      <c r="F6" s="244">
        <v>0</v>
      </c>
      <c r="H6" s="302"/>
      <c r="I6" s="302"/>
      <c r="J6" s="302"/>
      <c r="K6" s="302"/>
      <c r="V6" s="326">
        <v>-1.42</v>
      </c>
    </row>
    <row r="7" spans="3:22" ht="14.25" customHeight="1" thickTop="1" thickBot="1" x14ac:dyDescent="0.25">
      <c r="C7" s="310" t="s">
        <v>188</v>
      </c>
      <c r="D7" s="176" t="s">
        <v>129</v>
      </c>
      <c r="E7" s="177"/>
      <c r="F7" s="140">
        <v>0</v>
      </c>
      <c r="H7" s="302"/>
      <c r="I7" s="302"/>
      <c r="J7" s="302"/>
      <c r="K7" s="302"/>
      <c r="V7" s="326">
        <v>-1.4</v>
      </c>
    </row>
    <row r="8" spans="3:22" ht="13.5" thickTop="1" x14ac:dyDescent="0.2">
      <c r="D8" s="5"/>
      <c r="F8" s="6"/>
      <c r="V8" s="326">
        <v>-1.38</v>
      </c>
    </row>
    <row r="9" spans="3:22" ht="18" customHeight="1" x14ac:dyDescent="0.2">
      <c r="D9" s="5"/>
      <c r="F9" s="6"/>
      <c r="H9" s="366" t="s">
        <v>124</v>
      </c>
      <c r="I9" s="358"/>
      <c r="J9" s="359"/>
      <c r="K9" s="265"/>
      <c r="V9" s="326">
        <v>-1.3599999999999999</v>
      </c>
    </row>
    <row r="10" spans="3:22" ht="29.45" customHeight="1" x14ac:dyDescent="0.2">
      <c r="F10" s="193"/>
      <c r="H10" s="343" t="s">
        <v>123</v>
      </c>
      <c r="I10" s="344"/>
      <c r="J10" s="363" t="s">
        <v>148</v>
      </c>
      <c r="K10" s="266"/>
      <c r="P10" s="242"/>
      <c r="V10" s="326">
        <v>-1.3399999999999999</v>
      </c>
    </row>
    <row r="11" spans="3:22" ht="49.5" customHeight="1" x14ac:dyDescent="0.2">
      <c r="D11" s="245"/>
      <c r="E11" s="245"/>
      <c r="F11" s="245"/>
      <c r="H11" s="264" t="s">
        <v>122</v>
      </c>
      <c r="I11" s="264" t="str">
        <f>"Debt below 60% of GDP in T+"&amp;10+F5</f>
        <v>Debt below 60% of GDP in T+14</v>
      </c>
      <c r="J11" s="364"/>
      <c r="K11" s="370"/>
      <c r="L11" s="371"/>
      <c r="M11" s="371"/>
      <c r="N11" s="371"/>
      <c r="O11" s="371"/>
      <c r="P11" s="371"/>
      <c r="V11" s="326">
        <v>-1.3199999999999998</v>
      </c>
    </row>
    <row r="12" spans="3:22" ht="45" customHeight="1" x14ac:dyDescent="0.2">
      <c r="C12" s="310" t="s">
        <v>189</v>
      </c>
      <c r="D12" s="357" t="s">
        <v>213</v>
      </c>
      <c r="E12" s="358"/>
      <c r="F12" s="358"/>
      <c r="G12" s="359"/>
      <c r="H12" s="205" t="str">
        <f ca="1">IF(MIN(OFFSET('Adjustment scenario'!$F$77,0,$F$5,1,11))&gt;-3.05,"ok","Not met")</f>
        <v>Not met</v>
      </c>
      <c r="I12" s="205" t="str">
        <f ca="1">IF(OFFSET('Adjustment scenario'!$F$57,0,$F$5+10,1,1)&lt;60,"ok","Not met")</f>
        <v>ok</v>
      </c>
      <c r="J12" s="205" t="str">
        <f>IF(AND($F$5=4,COUNTIF(G18:J18,"&gt;" &amp; F6)=0),"Not binding",IF(AND($F$5=7,COUNTIF(G18:M18,"&gt;" &amp; F6)=0),"Not binding","Binding"))</f>
        <v>Not binding</v>
      </c>
      <c r="K12" s="368" t="str">
        <f ca="1">IF(OR($H$13="Not met",$I$13="Not met"),"Please adjust cell F7 so that both DSA-based criteria are met",
IF($F$6&lt;$F$7,"The adjustment in F6 cannot be lower than in F7",
IF(AND($H$12="ok",$I$12="ok",$H$13="ok",$I$13="ok",$F$6&gt;=$F$7,
OR(AND($F$5=4,$G$18&gt;=$H$18,$H$18&gt;=$I$18,$I$18&gt;=$J$18,OR($J$18&gt;=0.4,$J$19&gt;-1.55)),
AND($F$5=7,$G$18&gt;=$H$18,$H$18&gt;=$I$18,$I$18&gt;=$J$18,$J$18&gt;=$K$18,$K$18&gt;=$L$18,$L$18&gt;=$M$18,OR($M$18&gt;=0.25,$M$19&gt;-1.55)))),
"OK"&amp;CHAR(10)&amp;"The adjustment in F6 fulfills all requirements including the deficit resilience safeguard",
"NOT OK"&amp;CHAR(10)&amp;"The adjustment in F6 does not fulfill all requirements")))</f>
        <v>Please adjust cell F7 so that both DSA-based criteria are met</v>
      </c>
      <c r="L12" s="369"/>
      <c r="M12" s="369"/>
      <c r="N12" s="369"/>
      <c r="O12" s="369"/>
      <c r="P12" s="369"/>
      <c r="Q12" s="306"/>
      <c r="V12" s="326">
        <v>-1.3</v>
      </c>
    </row>
    <row r="13" spans="3:22" ht="45" customHeight="1" x14ac:dyDescent="0.2">
      <c r="C13" s="310" t="s">
        <v>188</v>
      </c>
      <c r="D13" s="357" t="s">
        <v>214</v>
      </c>
      <c r="E13" s="358"/>
      <c r="F13" s="358"/>
      <c r="G13" s="359"/>
      <c r="H13" s="205" t="str">
        <f ca="1">IF(MIN(OFFSET('Adjust. no safeguard'!$F$77,0,$F$5,1,11))&gt;-3.05,"ok","Not met")</f>
        <v>Not met</v>
      </c>
      <c r="I13" s="205" t="str">
        <f ca="1">IF(OFFSET('Adjust. no safeguard'!$F$57,0,$F$5+10,1,1)&lt;60,"ok","Not met")</f>
        <v>ok</v>
      </c>
      <c r="J13" s="256"/>
      <c r="K13" s="368" t="str">
        <f ca="1">IF(AND($H$13="ok",$I$13="ok"),
"OK"&amp;CHAR(10)&amp;"The adjustment in F7 ensures that the debt and deficit remain"&amp;CHAR(10)&amp;"below the Treaty reference values over the medium term",
"NOT OK"&amp;CHAR(10)&amp;"The adjustment in F7 does not ensure that the debt and deficit remain"&amp;CHAR(10)&amp;"below the Treaty reference values over the medium term")</f>
        <v>NOT OK
The adjustment in F7 does not ensure that the debt and deficit remain
below the Treaty reference values over the medium term</v>
      </c>
      <c r="L13" s="369"/>
      <c r="M13" s="369"/>
      <c r="N13" s="369"/>
      <c r="O13" s="369"/>
      <c r="P13" s="369"/>
      <c r="Q13" s="306"/>
      <c r="V13" s="326">
        <v>-1.28</v>
      </c>
    </row>
    <row r="14" spans="3:22" ht="34.5" customHeight="1" x14ac:dyDescent="0.2">
      <c r="D14" s="365" t="s">
        <v>205</v>
      </c>
      <c r="E14" s="365"/>
      <c r="F14" s="365"/>
      <c r="G14" s="365"/>
      <c r="H14" s="365"/>
      <c r="I14" s="365"/>
      <c r="J14" s="365"/>
      <c r="K14" s="257"/>
      <c r="L14" s="306"/>
      <c r="M14" s="306"/>
      <c r="V14" s="326">
        <v>-1.26</v>
      </c>
    </row>
    <row r="15" spans="3:22" ht="12.75" customHeight="1" x14ac:dyDescent="0.2">
      <c r="K15" s="257"/>
      <c r="L15" s="306"/>
      <c r="M15" s="306"/>
      <c r="V15" s="326">
        <v>-1.24</v>
      </c>
    </row>
    <row r="16" spans="3:22" ht="15.75" customHeight="1" x14ac:dyDescent="0.2">
      <c r="D16" s="238"/>
      <c r="E16" s="238"/>
      <c r="F16" s="238"/>
      <c r="G16" s="351" t="s">
        <v>143</v>
      </c>
      <c r="H16" s="352"/>
      <c r="I16" s="352"/>
      <c r="J16" s="353"/>
      <c r="K16" s="174"/>
      <c r="L16" s="306"/>
      <c r="M16" s="306"/>
      <c r="N16" s="174"/>
      <c r="O16" s="174"/>
      <c r="P16" s="165"/>
      <c r="V16" s="326">
        <v>-1.22</v>
      </c>
    </row>
    <row r="17" spans="4:22" ht="13.5" customHeight="1" x14ac:dyDescent="0.2">
      <c r="D17" s="238"/>
      <c r="E17" s="160"/>
      <c r="F17" s="166"/>
      <c r="G17" s="161">
        <v>2025</v>
      </c>
      <c r="H17" s="162">
        <v>2026</v>
      </c>
      <c r="I17" s="162">
        <v>2027</v>
      </c>
      <c r="J17" s="162">
        <v>2028</v>
      </c>
      <c r="K17" s="162">
        <v>2029</v>
      </c>
      <c r="L17" s="162">
        <v>2030</v>
      </c>
      <c r="M17" s="175">
        <v>2031</v>
      </c>
      <c r="N17" s="167"/>
      <c r="P17" s="167"/>
      <c r="V17" s="326">
        <v>-1.2</v>
      </c>
    </row>
    <row r="18" spans="4:22" ht="15" customHeight="1" x14ac:dyDescent="0.2">
      <c r="D18" s="354" t="s">
        <v>14</v>
      </c>
      <c r="E18" s="355"/>
      <c r="F18" s="356"/>
      <c r="G18" s="164">
        <f>'Adjustment scenario'!G12-'Adjustment scenario'!F12</f>
        <v>0</v>
      </c>
      <c r="H18" s="171">
        <f>'Adjustment scenario'!H12-'Adjustment scenario'!G12</f>
        <v>0</v>
      </c>
      <c r="I18" s="171">
        <f>'Adjustment scenario'!I12-'Adjustment scenario'!H12</f>
        <v>0</v>
      </c>
      <c r="J18" s="171">
        <f>'Adjustment scenario'!J12-'Adjustment scenario'!I12</f>
        <v>0</v>
      </c>
      <c r="K18" s="171">
        <f>'Adjustment scenario'!K12-'Adjustment scenario'!J12</f>
        <v>0</v>
      </c>
      <c r="L18" s="171">
        <f>'Adjustment scenario'!L12-'Adjustment scenario'!K12</f>
        <v>0</v>
      </c>
      <c r="M18" s="172">
        <f>'Adjustment scenario'!M12-'Adjustment scenario'!L12</f>
        <v>0</v>
      </c>
      <c r="N18" s="164"/>
      <c r="P18" s="164"/>
      <c r="V18" s="326">
        <v>-1.1800000000000002</v>
      </c>
    </row>
    <row r="19" spans="4:22" ht="15" customHeight="1" x14ac:dyDescent="0.2">
      <c r="D19" s="200" t="s">
        <v>20</v>
      </c>
      <c r="E19" s="194"/>
      <c r="F19" s="195"/>
      <c r="G19" s="196">
        <f>'Adjustment scenario'!G78</f>
        <v>-1.3693192280115136</v>
      </c>
      <c r="H19" s="197">
        <f>'Adjustment scenario'!H78</f>
        <v>-1.467474784084779</v>
      </c>
      <c r="I19" s="197">
        <f>'Adjustment scenario'!I78</f>
        <v>-1.5292414176647078</v>
      </c>
      <c r="J19" s="197">
        <f>'Adjustment scenario'!J78</f>
        <v>-1.5794725883977527</v>
      </c>
      <c r="K19" s="197">
        <f>'Adjustment scenario'!K78</f>
        <v>-1.7917366574421947</v>
      </c>
      <c r="L19" s="197">
        <f>'Adjustment scenario'!L78</f>
        <v>-2.0252885110422407</v>
      </c>
      <c r="M19" s="199">
        <f>'Adjustment scenario'!M78</f>
        <v>-2.2856043637997048</v>
      </c>
      <c r="N19" s="183"/>
      <c r="P19" s="164"/>
      <c r="V19" s="326">
        <v>-1.1600000000000001</v>
      </c>
    </row>
    <row r="20" spans="4:22" ht="15" customHeight="1" x14ac:dyDescent="0.2">
      <c r="D20" s="348" t="s">
        <v>121</v>
      </c>
      <c r="E20" s="349"/>
      <c r="F20" s="350"/>
      <c r="G20" s="323"/>
      <c r="H20" s="324"/>
      <c r="I20" s="324"/>
      <c r="J20" s="324">
        <f>IF(F5=4,'Adjustment scenario'!J12,"")</f>
        <v>-0.64168910000000001</v>
      </c>
      <c r="K20" s="324"/>
      <c r="L20" s="324"/>
      <c r="M20" s="327" t="str">
        <f>IF(F5=7,'Adjustment scenario'!M12,"")</f>
        <v/>
      </c>
      <c r="N20" s="183"/>
      <c r="P20" s="164"/>
      <c r="V20" s="326">
        <v>-1.1400000000000001</v>
      </c>
    </row>
    <row r="21" spans="4:22" ht="15" customHeight="1" x14ac:dyDescent="0.2">
      <c r="D21" s="365" t="s">
        <v>144</v>
      </c>
      <c r="E21" s="365"/>
      <c r="F21" s="365"/>
      <c r="G21" s="365"/>
      <c r="H21" s="365"/>
      <c r="I21" s="365"/>
      <c r="J21" s="365"/>
      <c r="K21" s="198"/>
      <c r="L21" s="198"/>
      <c r="M21" s="198"/>
      <c r="N21" s="183"/>
      <c r="P21" s="164"/>
      <c r="V21" s="326">
        <v>-1.1200000000000001</v>
      </c>
    </row>
    <row r="22" spans="4:22" ht="15" customHeight="1" x14ac:dyDescent="0.2">
      <c r="D22" s="248"/>
      <c r="E22" s="248"/>
      <c r="F22" s="248"/>
      <c r="G22" s="255"/>
      <c r="H22" s="170"/>
      <c r="I22" s="170"/>
      <c r="J22" s="170"/>
      <c r="K22" s="197"/>
      <c r="L22" s="197"/>
      <c r="M22" s="197"/>
      <c r="N22" s="183"/>
      <c r="P22" s="164"/>
      <c r="V22" s="326">
        <v>-1.1000000000000001</v>
      </c>
    </row>
    <row r="23" spans="4:22" ht="15" customHeight="1" x14ac:dyDescent="0.2">
      <c r="D23" s="248"/>
      <c r="E23" s="248"/>
      <c r="F23" s="249"/>
      <c r="G23" s="351" t="s">
        <v>131</v>
      </c>
      <c r="H23" s="352"/>
      <c r="I23" s="352"/>
      <c r="J23" s="353"/>
      <c r="K23" s="197"/>
      <c r="L23" s="197"/>
      <c r="M23" s="170"/>
      <c r="N23" s="183"/>
      <c r="P23" s="164"/>
      <c r="V23" s="326">
        <v>-1.08</v>
      </c>
    </row>
    <row r="24" spans="4:22" ht="15" customHeight="1" x14ac:dyDescent="0.2">
      <c r="D24" s="254"/>
      <c r="E24" s="248"/>
      <c r="F24" s="249"/>
      <c r="G24" s="161">
        <v>2025</v>
      </c>
      <c r="H24" s="162">
        <v>2026</v>
      </c>
      <c r="I24" s="162">
        <v>2027</v>
      </c>
      <c r="J24" s="162">
        <v>2028</v>
      </c>
      <c r="K24" s="162">
        <v>2029</v>
      </c>
      <c r="L24" s="162">
        <v>2030</v>
      </c>
      <c r="M24" s="175">
        <v>2031</v>
      </c>
      <c r="N24" s="183"/>
      <c r="P24" s="164"/>
      <c r="V24" s="326">
        <v>-1.06</v>
      </c>
    </row>
    <row r="25" spans="4:22" ht="15" customHeight="1" x14ac:dyDescent="0.2">
      <c r="D25" s="354" t="s">
        <v>14</v>
      </c>
      <c r="E25" s="355"/>
      <c r="F25" s="356"/>
      <c r="G25" s="246">
        <f>'Adjust. no safeguard'!G12-'Adjust. no safeguard'!F12</f>
        <v>0</v>
      </c>
      <c r="H25" s="171">
        <f>'Adjust. no safeguard'!H12-'Adjust. no safeguard'!G12</f>
        <v>0</v>
      </c>
      <c r="I25" s="171">
        <f>'Adjust. no safeguard'!I12-'Adjust. no safeguard'!H12</f>
        <v>0</v>
      </c>
      <c r="J25" s="171">
        <f>'Adjust. no safeguard'!J12-'Adjust. no safeguard'!I12</f>
        <v>0</v>
      </c>
      <c r="K25" s="171">
        <f>'Adjust. no safeguard'!K12-'Adjust. no safeguard'!J12</f>
        <v>0</v>
      </c>
      <c r="L25" s="171">
        <f>'Adjust. no safeguard'!L12-'Adjust. no safeguard'!K12</f>
        <v>0</v>
      </c>
      <c r="M25" s="172">
        <f>'Adjust. no safeguard'!M12-'Adjust. no safeguard'!L12</f>
        <v>0</v>
      </c>
      <c r="N25" s="183"/>
      <c r="P25" s="164"/>
      <c r="V25" s="326">
        <v>-1.04</v>
      </c>
    </row>
    <row r="26" spans="4:22" ht="15" customHeight="1" x14ac:dyDescent="0.2">
      <c r="D26" s="247" t="s">
        <v>20</v>
      </c>
      <c r="E26" s="240"/>
      <c r="F26" s="241"/>
      <c r="G26" s="169">
        <f>'Adjust. no safeguard'!G78</f>
        <v>-1.3693192280115136</v>
      </c>
      <c r="H26" s="170">
        <f>'Adjust. no safeguard'!H78</f>
        <v>-1.467474784084779</v>
      </c>
      <c r="I26" s="170">
        <f>'Adjust. no safeguard'!I78</f>
        <v>-1.5292414176647078</v>
      </c>
      <c r="J26" s="170">
        <f>'Adjust. no safeguard'!J78</f>
        <v>-1.5794725883977527</v>
      </c>
      <c r="K26" s="170">
        <f>'Adjust. no safeguard'!K78</f>
        <v>-1.7917366574421947</v>
      </c>
      <c r="L26" s="170">
        <f>'Adjust. no safeguard'!L78</f>
        <v>-2.0252885110422407</v>
      </c>
      <c r="M26" s="173">
        <f>'Adjust. no safeguard'!M78</f>
        <v>-2.2856043637997048</v>
      </c>
      <c r="N26" s="183"/>
      <c r="P26" s="164"/>
      <c r="V26" s="326">
        <v>-1.02</v>
      </c>
    </row>
    <row r="27" spans="4:22" ht="15" customHeight="1" x14ac:dyDescent="0.2">
      <c r="D27" s="360" t="s">
        <v>121</v>
      </c>
      <c r="E27" s="361"/>
      <c r="F27" s="362"/>
      <c r="G27" s="323"/>
      <c r="H27" s="324"/>
      <c r="I27" s="324"/>
      <c r="J27" s="324">
        <f>IF(F5=4,'Adjust. no safeguard'!J12,"")</f>
        <v>-0.64168910000000001</v>
      </c>
      <c r="K27" s="324"/>
      <c r="L27" s="324"/>
      <c r="M27" s="327" t="str">
        <f>IF(F5=7,'Adjust. no safeguard'!M12,"")</f>
        <v/>
      </c>
      <c r="N27" s="164"/>
      <c r="P27" s="168"/>
      <c r="V27" s="326">
        <v>-1</v>
      </c>
    </row>
    <row r="28" spans="4:22" x14ac:dyDescent="0.2">
      <c r="D28" s="250"/>
      <c r="E28" s="250"/>
      <c r="F28" s="250"/>
      <c r="G28" s="251"/>
      <c r="H28" s="164"/>
      <c r="Q28" s="163"/>
      <c r="V28" s="326">
        <v>-0.98</v>
      </c>
    </row>
    <row r="29" spans="4:22" x14ac:dyDescent="0.2">
      <c r="D29" s="252"/>
      <c r="E29" s="252"/>
      <c r="F29" s="252"/>
      <c r="G29" s="253"/>
      <c r="Q29" s="163"/>
      <c r="V29" s="326">
        <v>-0.96</v>
      </c>
    </row>
    <row r="30" spans="4:22" x14ac:dyDescent="0.2">
      <c r="J30" s="167"/>
      <c r="V30" s="326">
        <v>-0.94</v>
      </c>
    </row>
    <row r="31" spans="4:22" x14ac:dyDescent="0.2">
      <c r="G31" s="345" t="s">
        <v>130</v>
      </c>
      <c r="H31" s="346"/>
      <c r="J31" s="164"/>
      <c r="V31" s="326">
        <v>-0.91999999999999993</v>
      </c>
    </row>
    <row r="32" spans="4:22" x14ac:dyDescent="0.2">
      <c r="G32" s="148" t="s">
        <v>126</v>
      </c>
      <c r="H32" s="149" t="s">
        <v>127</v>
      </c>
      <c r="J32" s="164"/>
      <c r="V32" s="326">
        <v>-0.9</v>
      </c>
    </row>
    <row r="33" spans="4:22" x14ac:dyDescent="0.2">
      <c r="D33" s="178" t="s">
        <v>196</v>
      </c>
      <c r="E33" s="151"/>
      <c r="F33" s="152"/>
      <c r="G33" s="202">
        <v>4</v>
      </c>
      <c r="H33" s="202">
        <v>7</v>
      </c>
      <c r="J33" s="164"/>
      <c r="V33" s="326">
        <v>-0.88</v>
      </c>
    </row>
    <row r="34" spans="4:22" x14ac:dyDescent="0.2">
      <c r="D34" s="203" t="s">
        <v>121</v>
      </c>
      <c r="E34" s="153"/>
      <c r="F34" s="153"/>
      <c r="G34" s="204">
        <v>7.8310899999999961E-2</v>
      </c>
      <c r="H34" s="150">
        <v>5.8310899999999943E-2</v>
      </c>
      <c r="J34" s="164"/>
      <c r="V34" s="326">
        <v>-0.86</v>
      </c>
    </row>
    <row r="35" spans="4:22" ht="96" customHeight="1" x14ac:dyDescent="0.2">
      <c r="D35" s="347" t="s">
        <v>206</v>
      </c>
      <c r="E35" s="347"/>
      <c r="F35" s="347"/>
      <c r="G35" s="347"/>
      <c r="H35" s="347"/>
      <c r="J35" s="164"/>
      <c r="V35" s="326">
        <v>-0.84000000000000008</v>
      </c>
    </row>
    <row r="36" spans="4:22" ht="19.899999999999999" customHeight="1" x14ac:dyDescent="0.2">
      <c r="G36" s="367"/>
      <c r="H36" s="367"/>
      <c r="I36" s="367"/>
      <c r="J36" s="367"/>
      <c r="K36" s="367"/>
      <c r="L36" s="367"/>
      <c r="M36" s="367"/>
      <c r="N36" s="367"/>
      <c r="O36" s="367"/>
      <c r="V36" s="326">
        <v>-0.82</v>
      </c>
    </row>
    <row r="37" spans="4:22" x14ac:dyDescent="0.2">
      <c r="K37" s="163"/>
      <c r="V37" s="326">
        <v>-0.8</v>
      </c>
    </row>
    <row r="38" spans="4:22" x14ac:dyDescent="0.2">
      <c r="K38" s="163"/>
      <c r="V38" s="326">
        <v>-0.78</v>
      </c>
    </row>
    <row r="39" spans="4:22" ht="13.15" customHeight="1" x14ac:dyDescent="0.2">
      <c r="J39" s="164"/>
      <c r="V39" s="326">
        <v>-0.76</v>
      </c>
    </row>
    <row r="40" spans="4:22" x14ac:dyDescent="0.2">
      <c r="V40" s="326">
        <v>-0.74</v>
      </c>
    </row>
    <row r="41" spans="4:22" x14ac:dyDescent="0.2">
      <c r="V41" s="326">
        <v>-0.72</v>
      </c>
    </row>
    <row r="42" spans="4:22" x14ac:dyDescent="0.2">
      <c r="V42" s="326">
        <v>-0.7</v>
      </c>
    </row>
    <row r="43" spans="4:22" x14ac:dyDescent="0.2">
      <c r="V43" s="326">
        <v>-0.67999999999999994</v>
      </c>
    </row>
    <row r="44" spans="4:22" x14ac:dyDescent="0.2">
      <c r="V44" s="326">
        <v>-0.66</v>
      </c>
    </row>
    <row r="45" spans="4:22" x14ac:dyDescent="0.2">
      <c r="V45" s="326">
        <v>-0.64</v>
      </c>
    </row>
    <row r="46" spans="4:22" x14ac:dyDescent="0.2">
      <c r="V46" s="326">
        <v>-0.62</v>
      </c>
    </row>
    <row r="47" spans="4:22" x14ac:dyDescent="0.2">
      <c r="V47" s="326">
        <v>-0.6</v>
      </c>
    </row>
    <row r="48" spans="4:22" x14ac:dyDescent="0.2">
      <c r="V48" s="326">
        <v>-0.57999999999999996</v>
      </c>
    </row>
    <row r="49" spans="22:22" x14ac:dyDescent="0.2">
      <c r="V49" s="326">
        <v>-0.56000000000000005</v>
      </c>
    </row>
    <row r="50" spans="22:22" x14ac:dyDescent="0.2">
      <c r="V50" s="326">
        <v>-0.54</v>
      </c>
    </row>
    <row r="51" spans="22:22" x14ac:dyDescent="0.2">
      <c r="V51" s="326">
        <v>-0.52</v>
      </c>
    </row>
    <row r="52" spans="22:22" x14ac:dyDescent="0.2">
      <c r="V52" s="326">
        <v>-0.5</v>
      </c>
    </row>
    <row r="53" spans="22:22" x14ac:dyDescent="0.2">
      <c r="V53" s="326">
        <v>-0.48</v>
      </c>
    </row>
    <row r="54" spans="22:22" x14ac:dyDescent="0.2">
      <c r="V54" s="326">
        <v>-0.46</v>
      </c>
    </row>
    <row r="55" spans="22:22" x14ac:dyDescent="0.2">
      <c r="V55" s="326">
        <v>-0.44</v>
      </c>
    </row>
    <row r="56" spans="22:22" x14ac:dyDescent="0.2">
      <c r="V56" s="326">
        <v>-0.42</v>
      </c>
    </row>
    <row r="57" spans="22:22" x14ac:dyDescent="0.2">
      <c r="V57" s="326">
        <v>-0.4</v>
      </c>
    </row>
    <row r="58" spans="22:22" x14ac:dyDescent="0.2">
      <c r="V58" s="326">
        <v>-0.38</v>
      </c>
    </row>
    <row r="59" spans="22:22" x14ac:dyDescent="0.2">
      <c r="V59" s="326">
        <v>-0.36</v>
      </c>
    </row>
    <row r="60" spans="22:22" x14ac:dyDescent="0.2">
      <c r="V60" s="326">
        <v>-0.33999999999999997</v>
      </c>
    </row>
    <row r="61" spans="22:22" x14ac:dyDescent="0.2">
      <c r="V61" s="326">
        <v>-0.32</v>
      </c>
    </row>
    <row r="62" spans="22:22" x14ac:dyDescent="0.2">
      <c r="V62" s="326">
        <v>-0.3</v>
      </c>
    </row>
    <row r="63" spans="22:22" x14ac:dyDescent="0.2">
      <c r="V63" s="326">
        <v>-0.28000000000000003</v>
      </c>
    </row>
    <row r="64" spans="22:22" x14ac:dyDescent="0.2">
      <c r="V64" s="326">
        <v>-0.26</v>
      </c>
    </row>
    <row r="65" spans="22:22" x14ac:dyDescent="0.2">
      <c r="V65" s="326">
        <v>-0.24</v>
      </c>
    </row>
    <row r="66" spans="22:22" x14ac:dyDescent="0.2">
      <c r="V66" s="326">
        <v>-0.21999999999999997</v>
      </c>
    </row>
    <row r="67" spans="22:22" x14ac:dyDescent="0.2">
      <c r="V67" s="326">
        <v>-0.2</v>
      </c>
    </row>
    <row r="68" spans="22:22" x14ac:dyDescent="0.2">
      <c r="V68" s="326">
        <v>-0.18</v>
      </c>
    </row>
    <row r="69" spans="22:22" x14ac:dyDescent="0.2">
      <c r="V69" s="326">
        <v>-0.16</v>
      </c>
    </row>
    <row r="70" spans="22:22" x14ac:dyDescent="0.2">
      <c r="V70" s="326">
        <v>-0.14000000000000001</v>
      </c>
    </row>
    <row r="71" spans="22:22" x14ac:dyDescent="0.2">
      <c r="V71" s="326">
        <v>-0.12</v>
      </c>
    </row>
    <row r="72" spans="22:22" x14ac:dyDescent="0.2">
      <c r="V72" s="326">
        <v>-0.1</v>
      </c>
    </row>
    <row r="73" spans="22:22" x14ac:dyDescent="0.2">
      <c r="V73" s="326">
        <v>-8.0000000000000016E-2</v>
      </c>
    </row>
    <row r="74" spans="22:22" x14ac:dyDescent="0.2">
      <c r="V74" s="326">
        <v>-0.06</v>
      </c>
    </row>
    <row r="75" spans="22:22" x14ac:dyDescent="0.2">
      <c r="V75" s="326">
        <v>-3.999999999999998E-2</v>
      </c>
    </row>
    <row r="76" spans="22:22" x14ac:dyDescent="0.2">
      <c r="V76" s="326">
        <v>-2.0000000000000018E-2</v>
      </c>
    </row>
    <row r="77" spans="22:22" x14ac:dyDescent="0.2">
      <c r="V77" s="326">
        <v>0</v>
      </c>
    </row>
    <row r="78" spans="22:22" x14ac:dyDescent="0.2">
      <c r="V78" s="326">
        <v>0.02</v>
      </c>
    </row>
    <row r="79" spans="22:22" x14ac:dyDescent="0.2">
      <c r="V79" s="326">
        <v>0.04</v>
      </c>
    </row>
    <row r="80" spans="22:22" x14ac:dyDescent="0.2">
      <c r="V80" s="326">
        <v>0.06</v>
      </c>
    </row>
    <row r="81" spans="22:22" x14ac:dyDescent="0.2">
      <c r="V81" s="326">
        <v>0.08</v>
      </c>
    </row>
    <row r="82" spans="22:22" x14ac:dyDescent="0.2">
      <c r="V82" s="326">
        <v>0.1</v>
      </c>
    </row>
    <row r="83" spans="22:22" x14ac:dyDescent="0.2">
      <c r="V83" s="326">
        <v>0.12</v>
      </c>
    </row>
    <row r="84" spans="22:22" x14ac:dyDescent="0.2">
      <c r="V84" s="326">
        <v>0.14000000000000001</v>
      </c>
    </row>
    <row r="85" spans="22:22" x14ac:dyDescent="0.2">
      <c r="V85" s="326">
        <v>0.16000000000000003</v>
      </c>
    </row>
    <row r="86" spans="22:22" x14ac:dyDescent="0.2">
      <c r="V86" s="326">
        <v>0.18000000000000005</v>
      </c>
    </row>
    <row r="87" spans="22:22" x14ac:dyDescent="0.2">
      <c r="V87" s="326">
        <v>0.2</v>
      </c>
    </row>
    <row r="88" spans="22:22" x14ac:dyDescent="0.2">
      <c r="V88" s="326">
        <v>0.22</v>
      </c>
    </row>
    <row r="89" spans="22:22" x14ac:dyDescent="0.2">
      <c r="V89" s="326">
        <v>0.24</v>
      </c>
    </row>
    <row r="90" spans="22:22" x14ac:dyDescent="0.2">
      <c r="V90" s="326">
        <v>0.26</v>
      </c>
    </row>
    <row r="91" spans="22:22" x14ac:dyDescent="0.2">
      <c r="V91" s="326">
        <v>0.28000000000000003</v>
      </c>
    </row>
    <row r="92" spans="22:22" x14ac:dyDescent="0.2">
      <c r="V92" s="326">
        <v>0.3</v>
      </c>
    </row>
    <row r="93" spans="22:22" x14ac:dyDescent="0.2">
      <c r="V93" s="326">
        <v>0.31999999999999995</v>
      </c>
    </row>
    <row r="94" spans="22:22" x14ac:dyDescent="0.2">
      <c r="V94" s="326">
        <v>0.33999999999999997</v>
      </c>
    </row>
    <row r="95" spans="22:22" x14ac:dyDescent="0.2">
      <c r="V95" s="326">
        <v>0.36</v>
      </c>
    </row>
    <row r="96" spans="22:22" x14ac:dyDescent="0.2">
      <c r="V96" s="326">
        <v>0.38</v>
      </c>
    </row>
    <row r="97" spans="22:22" x14ac:dyDescent="0.2">
      <c r="V97" s="326">
        <v>0.4</v>
      </c>
    </row>
    <row r="98" spans="22:22" x14ac:dyDescent="0.2">
      <c r="V98" s="326">
        <v>0.42</v>
      </c>
    </row>
    <row r="99" spans="22:22" x14ac:dyDescent="0.2">
      <c r="V99" s="326">
        <v>0.43999999999999995</v>
      </c>
    </row>
    <row r="100" spans="22:22" x14ac:dyDescent="0.2">
      <c r="V100" s="326">
        <v>0.45999999999999996</v>
      </c>
    </row>
    <row r="101" spans="22:22" x14ac:dyDescent="0.2">
      <c r="V101" s="326">
        <v>0.48</v>
      </c>
    </row>
    <row r="102" spans="22:22" x14ac:dyDescent="0.2">
      <c r="V102" s="326">
        <v>0.5</v>
      </c>
    </row>
    <row r="103" spans="22:22" x14ac:dyDescent="0.2">
      <c r="V103" s="326">
        <v>0.52</v>
      </c>
    </row>
    <row r="104" spans="22:22" x14ac:dyDescent="0.2">
      <c r="V104" s="326">
        <v>0.54</v>
      </c>
    </row>
    <row r="105" spans="22:22" x14ac:dyDescent="0.2">
      <c r="V105" s="326">
        <v>0.56000000000000005</v>
      </c>
    </row>
    <row r="106" spans="22:22" x14ac:dyDescent="0.2">
      <c r="V106" s="326">
        <v>0.58000000000000007</v>
      </c>
    </row>
    <row r="107" spans="22:22" x14ac:dyDescent="0.2">
      <c r="V107" s="326">
        <v>0.60000000000000009</v>
      </c>
    </row>
    <row r="108" spans="22:22" x14ac:dyDescent="0.2">
      <c r="V108" s="326">
        <v>0.62000000000000011</v>
      </c>
    </row>
    <row r="109" spans="22:22" x14ac:dyDescent="0.2">
      <c r="V109" s="326">
        <v>0.6399999999999999</v>
      </c>
    </row>
    <row r="110" spans="22:22" x14ac:dyDescent="0.2">
      <c r="V110" s="326">
        <v>0.65999999999999992</v>
      </c>
    </row>
    <row r="111" spans="22:22" x14ac:dyDescent="0.2">
      <c r="V111" s="326">
        <v>0.67999999999999994</v>
      </c>
    </row>
    <row r="112" spans="22:22" x14ac:dyDescent="0.2">
      <c r="V112" s="326">
        <v>0.7</v>
      </c>
    </row>
    <row r="113" spans="22:22" x14ac:dyDescent="0.2">
      <c r="V113" s="326">
        <v>0.72</v>
      </c>
    </row>
    <row r="114" spans="22:22" x14ac:dyDescent="0.2">
      <c r="V114" s="326">
        <v>0.74</v>
      </c>
    </row>
    <row r="115" spans="22:22" x14ac:dyDescent="0.2">
      <c r="V115" s="326">
        <v>0.76</v>
      </c>
    </row>
    <row r="116" spans="22:22" x14ac:dyDescent="0.2">
      <c r="V116" s="326">
        <v>0.78</v>
      </c>
    </row>
    <row r="117" spans="22:22" x14ac:dyDescent="0.2">
      <c r="V117" s="326">
        <v>0.8</v>
      </c>
    </row>
    <row r="118" spans="22:22" x14ac:dyDescent="0.2">
      <c r="V118" s="326">
        <v>0.82000000000000006</v>
      </c>
    </row>
    <row r="119" spans="22:22" x14ac:dyDescent="0.2">
      <c r="V119" s="326">
        <v>0.84000000000000008</v>
      </c>
    </row>
    <row r="120" spans="22:22" x14ac:dyDescent="0.2">
      <c r="V120" s="326">
        <v>0.8600000000000001</v>
      </c>
    </row>
    <row r="121" spans="22:22" x14ac:dyDescent="0.2">
      <c r="V121" s="326">
        <v>0.87999999999999989</v>
      </c>
    </row>
    <row r="122" spans="22:22" x14ac:dyDescent="0.2">
      <c r="V122" s="326">
        <v>0.89999999999999991</v>
      </c>
    </row>
    <row r="123" spans="22:22" x14ac:dyDescent="0.2">
      <c r="V123" s="326">
        <v>0.91999999999999993</v>
      </c>
    </row>
    <row r="124" spans="22:22" x14ac:dyDescent="0.2">
      <c r="V124" s="326">
        <v>0.94</v>
      </c>
    </row>
    <row r="125" spans="22:22" x14ac:dyDescent="0.2">
      <c r="V125" s="326">
        <v>0.96</v>
      </c>
    </row>
    <row r="126" spans="22:22" x14ac:dyDescent="0.2">
      <c r="V126" s="326">
        <v>0.98</v>
      </c>
    </row>
    <row r="127" spans="22:22" x14ac:dyDescent="0.2">
      <c r="V127" s="326">
        <v>1</v>
      </c>
    </row>
    <row r="128" spans="22:22" x14ac:dyDescent="0.2">
      <c r="V128" s="326">
        <v>1.02</v>
      </c>
    </row>
    <row r="129" spans="22:22" x14ac:dyDescent="0.2">
      <c r="V129" s="326">
        <v>1.04</v>
      </c>
    </row>
    <row r="130" spans="22:22" x14ac:dyDescent="0.2">
      <c r="V130" s="326">
        <v>1.06</v>
      </c>
    </row>
    <row r="131" spans="22:22" x14ac:dyDescent="0.2">
      <c r="V131" s="326">
        <v>1.08</v>
      </c>
    </row>
    <row r="132" spans="22:22" x14ac:dyDescent="0.2">
      <c r="V132" s="326">
        <v>1.1000000000000001</v>
      </c>
    </row>
    <row r="133" spans="22:22" x14ac:dyDescent="0.2">
      <c r="V133" s="326">
        <v>1.1200000000000001</v>
      </c>
    </row>
    <row r="134" spans="22:22" x14ac:dyDescent="0.2">
      <c r="V134" s="326">
        <v>1.1399999999999999</v>
      </c>
    </row>
    <row r="135" spans="22:22" x14ac:dyDescent="0.2">
      <c r="V135" s="326">
        <v>1.1599999999999999</v>
      </c>
    </row>
    <row r="136" spans="22:22" x14ac:dyDescent="0.2">
      <c r="V136" s="326">
        <v>1.18</v>
      </c>
    </row>
    <row r="137" spans="22:22" x14ac:dyDescent="0.2">
      <c r="V137" s="326">
        <v>1.2</v>
      </c>
    </row>
    <row r="138" spans="22:22" x14ac:dyDescent="0.2">
      <c r="V138" s="326">
        <v>1.22</v>
      </c>
    </row>
    <row r="139" spans="22:22" x14ac:dyDescent="0.2">
      <c r="V139" s="326">
        <v>1.24</v>
      </c>
    </row>
    <row r="140" spans="22:22" x14ac:dyDescent="0.2">
      <c r="V140" s="326">
        <v>1.26</v>
      </c>
    </row>
    <row r="141" spans="22:22" x14ac:dyDescent="0.2">
      <c r="V141" s="326">
        <v>1.28</v>
      </c>
    </row>
    <row r="142" spans="22:22" x14ac:dyDescent="0.2">
      <c r="V142" s="326">
        <v>1.3</v>
      </c>
    </row>
    <row r="143" spans="22:22" x14ac:dyDescent="0.2">
      <c r="V143" s="326">
        <v>1.32</v>
      </c>
    </row>
    <row r="144" spans="22:22" x14ac:dyDescent="0.2">
      <c r="V144" s="326">
        <v>1.34</v>
      </c>
    </row>
    <row r="145" spans="22:22" x14ac:dyDescent="0.2">
      <c r="V145" s="326">
        <v>1.36</v>
      </c>
    </row>
    <row r="146" spans="22:22" x14ac:dyDescent="0.2">
      <c r="V146" s="326">
        <v>1.38</v>
      </c>
    </row>
    <row r="147" spans="22:22" x14ac:dyDescent="0.2">
      <c r="V147" s="326">
        <v>1.4</v>
      </c>
    </row>
    <row r="148" spans="22:22" x14ac:dyDescent="0.2">
      <c r="V148" s="326">
        <v>1.42</v>
      </c>
    </row>
    <row r="149" spans="22:22" x14ac:dyDescent="0.2">
      <c r="V149" s="326">
        <v>1.44</v>
      </c>
    </row>
    <row r="150" spans="22:22" x14ac:dyDescent="0.2">
      <c r="V150" s="326">
        <v>1.46</v>
      </c>
    </row>
    <row r="151" spans="22:22" x14ac:dyDescent="0.2">
      <c r="V151" s="326">
        <v>1.48</v>
      </c>
    </row>
    <row r="152" spans="22:22" x14ac:dyDescent="0.2">
      <c r="V152" s="326">
        <v>1.5</v>
      </c>
    </row>
  </sheetData>
  <mergeCells count="20">
    <mergeCell ref="G36:O36"/>
    <mergeCell ref="D14:J14"/>
    <mergeCell ref="K12:P12"/>
    <mergeCell ref="K13:P13"/>
    <mergeCell ref="K11:P11"/>
    <mergeCell ref="D3:F3"/>
    <mergeCell ref="H10:I10"/>
    <mergeCell ref="G31:H31"/>
    <mergeCell ref="D35:H35"/>
    <mergeCell ref="D20:F20"/>
    <mergeCell ref="G16:J16"/>
    <mergeCell ref="D18:F18"/>
    <mergeCell ref="D12:G12"/>
    <mergeCell ref="D13:G13"/>
    <mergeCell ref="D25:F25"/>
    <mergeCell ref="D27:F27"/>
    <mergeCell ref="G23:J23"/>
    <mergeCell ref="J10:J11"/>
    <mergeCell ref="D21:J21"/>
    <mergeCell ref="H9:J9"/>
  </mergeCells>
  <conditionalFormatting sqref="L17:N27">
    <cfRule type="expression" dxfId="14" priority="25">
      <formula>$F$5=4</formula>
    </cfRule>
  </conditionalFormatting>
  <conditionalFormatting sqref="K17:N27">
    <cfRule type="expression" dxfId="13" priority="24">
      <formula>$F$5=4</formula>
    </cfRule>
  </conditionalFormatting>
  <conditionalFormatting sqref="K17:K20 K23:K27">
    <cfRule type="expression" dxfId="12" priority="26">
      <formula>$F$5=4</formula>
    </cfRule>
  </conditionalFormatting>
  <conditionalFormatting sqref="G19:J19">
    <cfRule type="cellIs" dxfId="11" priority="20" operator="lessThan">
      <formula>-1.55</formula>
    </cfRule>
  </conditionalFormatting>
  <conditionalFormatting sqref="K19:M19">
    <cfRule type="expression" dxfId="10" priority="19">
      <formula>AND($F$5=7,K19&lt;-1.55)</formula>
    </cfRule>
  </conditionalFormatting>
  <conditionalFormatting sqref="K13 C7 C13">
    <cfRule type="expression" dxfId="9" priority="9">
      <formula>AND($H$13="ok",$I$13="ok")</formula>
    </cfRule>
  </conditionalFormatting>
  <conditionalFormatting sqref="K12 C6 C12">
    <cfRule type="expression" dxfId="8" priority="1">
      <formula>AND($H$12="ok",$I$12="ok",$H$13="ok",$I$13="ok",$F$6&gt;=$F$7,OR(AND($F$5=4,$G$18&gt;=$H$18,$H$18&gt;=$I$18,$I$18&gt;=$J$18,OR($J$18&gt;=0.4,$J$19&gt;-1.55)), AND($F$5=7,$G$18&gt;=$H$18,$H$18&gt;=$I$18,$I$18&gt;=$J$18,$J$18&gt;=$K$18,$K$18&gt;=$L$18,$L$18&gt;=$M$18,OR($M$18&gt;=0.25,$M$19&gt;-1.55))))</formula>
    </cfRule>
  </conditionalFormatting>
  <dataValidations count="2">
    <dataValidation type="list" allowBlank="1" showInputMessage="1" showErrorMessage="1" sqref="F5" xr:uid="{FF9EC846-9BB1-4470-A3A9-D4EAF7E33AA3}">
      <formula1>$U$2:$U$3</formula1>
    </dataValidation>
    <dataValidation type="list" allowBlank="1" showInputMessage="1" showErrorMessage="1" sqref="F6 F7" xr:uid="{7DB6428C-CA2B-4336-9062-A3A703EBF290}">
      <formula1>$V$2:$V$152</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theme="8" tint="0.39997558519241921"/>
  </sheetPr>
  <dimension ref="A1:BB77"/>
  <sheetViews>
    <sheetView zoomScaleNormal="100" workbookViewId="0"/>
  </sheetViews>
  <sheetFormatPr defaultColWidth="8.85546875" defaultRowHeight="12.75" x14ac:dyDescent="0.2"/>
  <cols>
    <col min="1" max="1" width="8.7109375" style="109" customWidth="1"/>
    <col min="2" max="2" width="58.42578125" style="109" customWidth="1"/>
    <col min="3" max="6" width="8.7109375" style="109" customWidth="1"/>
    <col min="7" max="16384" width="8.85546875" style="109"/>
  </cols>
  <sheetData>
    <row r="1" spans="1:54" s="45" customFormat="1" ht="24.75" customHeight="1" x14ac:dyDescent="0.2">
      <c r="B1" s="102"/>
    </row>
    <row r="2" spans="1:54" s="45" customFormat="1" ht="11.25" customHeight="1" x14ac:dyDescent="0.2">
      <c r="B2" s="103"/>
    </row>
    <row r="3" spans="1:54" s="45" customFormat="1" ht="11.25" customHeight="1" x14ac:dyDescent="0.2">
      <c r="B3" s="104" t="s">
        <v>11</v>
      </c>
      <c r="C3" s="105" t="s">
        <v>116</v>
      </c>
    </row>
    <row r="4" spans="1:54" s="45" customFormat="1" ht="11.25" customHeight="1" x14ac:dyDescent="0.2">
      <c r="B4" s="106"/>
      <c r="C4" s="12"/>
    </row>
    <row r="5" spans="1:54" s="45" customFormat="1" ht="11.25" customHeight="1" x14ac:dyDescent="0.2">
      <c r="B5" s="107" t="s">
        <v>120</v>
      </c>
      <c r="C5" s="12">
        <v>2024</v>
      </c>
    </row>
    <row r="6" spans="1:54" x14ac:dyDescent="0.2">
      <c r="A6" s="45"/>
      <c r="B6" s="108" t="s">
        <v>22</v>
      </c>
      <c r="C6" s="243">
        <f>C5+'Criteria results'!$F$5</f>
        <v>2028</v>
      </c>
    </row>
    <row r="8" spans="1:54" s="110" customFormat="1" ht="12" customHeight="1" x14ac:dyDescent="0.2">
      <c r="B8" s="111" t="s">
        <v>23</v>
      </c>
      <c r="C8" s="112"/>
      <c r="D8" s="112"/>
      <c r="E8" s="112"/>
      <c r="F8" s="112"/>
      <c r="G8" s="112"/>
      <c r="H8" s="112"/>
      <c r="I8" s="112"/>
      <c r="J8" s="112"/>
      <c r="K8" s="112"/>
      <c r="L8" s="112"/>
      <c r="M8" s="112"/>
      <c r="N8" s="112"/>
      <c r="O8" s="112"/>
    </row>
    <row r="9" spans="1:54" x14ac:dyDescent="0.2">
      <c r="B9" s="45"/>
      <c r="C9" s="113">
        <v>2021</v>
      </c>
      <c r="D9" s="113">
        <v>2022</v>
      </c>
      <c r="E9" s="113">
        <v>2023</v>
      </c>
      <c r="F9" s="113">
        <v>2024</v>
      </c>
      <c r="G9" s="113">
        <v>2025</v>
      </c>
      <c r="H9" s="113">
        <v>2026</v>
      </c>
      <c r="I9" s="113">
        <v>2027</v>
      </c>
      <c r="J9" s="113">
        <v>2028</v>
      </c>
      <c r="K9" s="113">
        <v>2029</v>
      </c>
      <c r="L9" s="113">
        <v>2030</v>
      </c>
      <c r="M9" s="113">
        <v>2031</v>
      </c>
      <c r="N9" s="113">
        <v>2032</v>
      </c>
      <c r="O9" s="113">
        <v>2033</v>
      </c>
      <c r="P9" s="113">
        <v>2034</v>
      </c>
      <c r="Q9" s="113">
        <v>2035</v>
      </c>
      <c r="R9" s="113">
        <v>2036</v>
      </c>
      <c r="S9" s="113">
        <v>2037</v>
      </c>
      <c r="T9" s="113">
        <v>2038</v>
      </c>
      <c r="U9" s="113">
        <v>2039</v>
      </c>
      <c r="V9" s="113">
        <v>2040</v>
      </c>
      <c r="W9" s="113">
        <v>2041</v>
      </c>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113"/>
      <c r="AZ9" s="113"/>
      <c r="BA9" s="113"/>
      <c r="BB9" s="113"/>
    </row>
    <row r="10" spans="1:54" s="114" customFormat="1" x14ac:dyDescent="0.2">
      <c r="B10" s="115" t="s">
        <v>24</v>
      </c>
      <c r="C10" s="116"/>
      <c r="D10" s="116"/>
      <c r="E10" s="116"/>
      <c r="F10" s="116"/>
      <c r="G10" s="116"/>
      <c r="H10" s="116"/>
      <c r="I10" s="116"/>
      <c r="J10" s="116"/>
      <c r="K10" s="116"/>
      <c r="L10" s="116"/>
      <c r="M10" s="116"/>
      <c r="N10" s="116"/>
      <c r="O10" s="116"/>
    </row>
    <row r="11" spans="1:54" x14ac:dyDescent="0.2">
      <c r="B11" s="117" t="s">
        <v>200</v>
      </c>
      <c r="C11" s="118"/>
      <c r="D11" s="118"/>
      <c r="E11" s="118"/>
      <c r="F11" s="118"/>
      <c r="G11" s="118"/>
      <c r="H11" s="118"/>
      <c r="I11" s="118"/>
      <c r="J11" s="118"/>
      <c r="K11" s="118"/>
      <c r="L11" s="118"/>
      <c r="M11" s="118"/>
      <c r="N11" s="118"/>
      <c r="O11" s="118"/>
    </row>
    <row r="12" spans="1:54" x14ac:dyDescent="0.2">
      <c r="A12" s="45"/>
      <c r="B12" s="45" t="s">
        <v>21</v>
      </c>
      <c r="C12" s="44">
        <v>51.650089999999999</v>
      </c>
      <c r="D12" s="119">
        <v>50.132860000000001</v>
      </c>
      <c r="E12" s="119">
        <v>46.482689999999998</v>
      </c>
      <c r="F12" s="119">
        <v>47.061230000000002</v>
      </c>
      <c r="G12" s="44" t="s">
        <v>25</v>
      </c>
      <c r="H12" s="44" t="s">
        <v>25</v>
      </c>
      <c r="I12" s="44" t="s">
        <v>25</v>
      </c>
      <c r="J12" s="44" t="s">
        <v>25</v>
      </c>
      <c r="K12" s="44" t="s">
        <v>25</v>
      </c>
      <c r="L12" s="44" t="s">
        <v>25</v>
      </c>
      <c r="M12" s="44" t="s">
        <v>25</v>
      </c>
      <c r="N12" s="44" t="s">
        <v>25</v>
      </c>
      <c r="O12" s="44" t="s">
        <v>25</v>
      </c>
    </row>
    <row r="13" spans="1:54" x14ac:dyDescent="0.2">
      <c r="A13" s="45"/>
      <c r="B13" s="45" t="s">
        <v>26</v>
      </c>
      <c r="C13" s="44">
        <v>-1.3850450000000001</v>
      </c>
      <c r="D13" s="119">
        <v>-0.58009900000000003</v>
      </c>
      <c r="E13" s="119">
        <v>-0.18470490000000001</v>
      </c>
      <c r="F13" s="119">
        <v>-0.64168910000000001</v>
      </c>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row>
    <row r="14" spans="1:54" x14ac:dyDescent="0.2">
      <c r="A14" s="45"/>
      <c r="B14" s="45" t="s">
        <v>27</v>
      </c>
      <c r="C14" s="44">
        <v>-0.1033785</v>
      </c>
      <c r="D14" s="119">
        <v>-0.1877838</v>
      </c>
      <c r="E14" s="119">
        <v>0.48351880000000003</v>
      </c>
      <c r="F14" s="119">
        <v>0</v>
      </c>
      <c r="G14" s="119">
        <v>0</v>
      </c>
      <c r="H14" s="119">
        <v>0</v>
      </c>
      <c r="I14" s="119">
        <v>0</v>
      </c>
      <c r="J14" s="119">
        <v>0</v>
      </c>
      <c r="K14" s="119">
        <v>0</v>
      </c>
      <c r="L14" s="119">
        <v>0</v>
      </c>
      <c r="M14" s="119">
        <v>0</v>
      </c>
      <c r="N14" s="119">
        <v>0</v>
      </c>
      <c r="O14" s="119">
        <v>0</v>
      </c>
      <c r="P14" s="119">
        <v>0</v>
      </c>
      <c r="Q14" s="119">
        <v>0</v>
      </c>
      <c r="R14" s="119">
        <v>0</v>
      </c>
      <c r="S14" s="119">
        <v>0</v>
      </c>
      <c r="T14" s="119">
        <v>0</v>
      </c>
      <c r="U14" s="119">
        <v>0</v>
      </c>
      <c r="V14" s="119">
        <v>0</v>
      </c>
      <c r="W14" s="119">
        <v>0</v>
      </c>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row>
    <row r="15" spans="1:54" x14ac:dyDescent="0.2">
      <c r="A15" s="45"/>
      <c r="B15" s="45" t="s">
        <v>28</v>
      </c>
      <c r="C15" s="44">
        <v>-0.60671679999999995</v>
      </c>
      <c r="D15" s="119">
        <v>3.1287919999999998</v>
      </c>
      <c r="E15" s="119">
        <v>-0.33130710000000002</v>
      </c>
      <c r="F15" s="119">
        <v>0.6</v>
      </c>
      <c r="G15" s="119">
        <v>0.9</v>
      </c>
      <c r="H15" s="119">
        <v>0</v>
      </c>
      <c r="I15" s="119">
        <v>0</v>
      </c>
      <c r="J15" s="119">
        <v>0</v>
      </c>
      <c r="K15" s="119">
        <v>0</v>
      </c>
      <c r="L15" s="119">
        <v>0</v>
      </c>
      <c r="M15" s="119">
        <v>0</v>
      </c>
      <c r="N15" s="119">
        <v>0</v>
      </c>
      <c r="O15" s="119">
        <v>0</v>
      </c>
      <c r="P15" s="119">
        <v>0</v>
      </c>
      <c r="Q15" s="119">
        <v>0</v>
      </c>
      <c r="R15" s="119">
        <v>0</v>
      </c>
      <c r="S15" s="119">
        <v>0</v>
      </c>
      <c r="T15" s="119">
        <v>0</v>
      </c>
      <c r="U15" s="119">
        <v>0</v>
      </c>
      <c r="V15" s="119">
        <v>0</v>
      </c>
      <c r="W15" s="119">
        <v>0</v>
      </c>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row>
    <row r="16" spans="1:54" x14ac:dyDescent="0.2">
      <c r="A16" s="45"/>
      <c r="B16" s="45" t="s">
        <v>29</v>
      </c>
      <c r="C16" s="44">
        <v>-0.60671710000000001</v>
      </c>
      <c r="D16" s="119">
        <v>3.1287919999999998</v>
      </c>
      <c r="E16" s="119">
        <v>-0.33130660000000001</v>
      </c>
      <c r="F16" s="119">
        <v>0.60000120000000001</v>
      </c>
      <c r="G16" s="119">
        <v>0.89999770000000001</v>
      </c>
      <c r="H16" s="119">
        <v>0</v>
      </c>
      <c r="I16" s="119">
        <v>0</v>
      </c>
      <c r="J16" s="119">
        <v>0</v>
      </c>
      <c r="K16" s="119">
        <v>0</v>
      </c>
      <c r="L16" s="119">
        <v>0</v>
      </c>
      <c r="M16" s="119">
        <v>0</v>
      </c>
      <c r="N16" s="119">
        <v>0</v>
      </c>
      <c r="O16" s="119">
        <v>0</v>
      </c>
      <c r="P16" s="119">
        <v>0</v>
      </c>
      <c r="Q16" s="119">
        <v>0</v>
      </c>
      <c r="R16" s="119">
        <v>0</v>
      </c>
      <c r="S16" s="119">
        <v>0</v>
      </c>
      <c r="T16" s="119">
        <v>0</v>
      </c>
      <c r="U16" s="119">
        <v>0</v>
      </c>
      <c r="V16" s="119">
        <v>0</v>
      </c>
      <c r="W16" s="119">
        <v>0</v>
      </c>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row>
    <row r="17" spans="1:54" x14ac:dyDescent="0.2">
      <c r="A17" s="45"/>
      <c r="B17" s="311" t="s">
        <v>199</v>
      </c>
      <c r="C17" s="44"/>
      <c r="D17" s="312">
        <v>0</v>
      </c>
      <c r="E17" s="312">
        <v>0</v>
      </c>
      <c r="F17" s="312">
        <v>0</v>
      </c>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row>
    <row r="18" spans="1:54" x14ac:dyDescent="0.2">
      <c r="A18" s="45"/>
      <c r="B18" s="45"/>
      <c r="C18" s="44"/>
      <c r="D18" s="44"/>
      <c r="E18" s="44"/>
      <c r="F18" s="44"/>
      <c r="G18" s="44"/>
      <c r="H18" s="44"/>
      <c r="I18" s="44"/>
      <c r="J18" s="44"/>
      <c r="K18" s="44"/>
      <c r="L18" s="44"/>
      <c r="M18" s="44"/>
      <c r="N18" s="44"/>
      <c r="O18" s="44"/>
    </row>
    <row r="19" spans="1:54" x14ac:dyDescent="0.2">
      <c r="A19" s="45"/>
      <c r="B19" s="117" t="s">
        <v>195</v>
      </c>
      <c r="C19" s="44"/>
      <c r="D19" s="44"/>
      <c r="E19" s="44"/>
      <c r="F19" s="44"/>
      <c r="G19" s="44"/>
      <c r="H19" s="44"/>
      <c r="I19" s="44"/>
      <c r="J19" s="44"/>
      <c r="K19" s="44"/>
      <c r="L19" s="44"/>
      <c r="M19" s="44"/>
      <c r="N19" s="44"/>
      <c r="O19" s="44"/>
    </row>
    <row r="20" spans="1:54" x14ac:dyDescent="0.2">
      <c r="A20" s="45"/>
      <c r="B20" s="45" t="s">
        <v>30</v>
      </c>
      <c r="C20" s="44">
        <f t="shared" ref="C20:T20" si="0">(C21+C22+C23+C24-C25)</f>
        <v>0</v>
      </c>
      <c r="D20" s="120">
        <f t="shared" si="0"/>
        <v>18.197429999999997</v>
      </c>
      <c r="E20" s="120">
        <f t="shared" si="0"/>
        <v>18.057920000000003</v>
      </c>
      <c r="F20" s="120">
        <f t="shared" si="0"/>
        <v>18.079909999999998</v>
      </c>
      <c r="G20" s="120">
        <f t="shared" si="0"/>
        <v>18.066780000000001</v>
      </c>
      <c r="H20" s="120">
        <f t="shared" si="0"/>
        <v>18.131349999999998</v>
      </c>
      <c r="I20" s="120">
        <f t="shared" si="0"/>
        <v>18.327549999999995</v>
      </c>
      <c r="J20" s="120">
        <f t="shared" si="0"/>
        <v>18.389009999999999</v>
      </c>
      <c r="K20" s="120">
        <f t="shared" si="0"/>
        <v>18.522680000000001</v>
      </c>
      <c r="L20" s="120">
        <f t="shared" si="0"/>
        <v>18.676760000000002</v>
      </c>
      <c r="M20" s="120">
        <f t="shared" si="0"/>
        <v>18.855719999999998</v>
      </c>
      <c r="N20" s="120">
        <f t="shared" si="0"/>
        <v>19.032749999999997</v>
      </c>
      <c r="O20" s="120">
        <f t="shared" si="0"/>
        <v>19.171200000000002</v>
      </c>
      <c r="P20" s="120">
        <f t="shared" si="0"/>
        <v>19.30218</v>
      </c>
      <c r="Q20" s="120">
        <f t="shared" si="0"/>
        <v>19.407900000000001</v>
      </c>
      <c r="R20" s="120">
        <f t="shared" si="0"/>
        <v>19.539800000000003</v>
      </c>
      <c r="S20" s="120">
        <f t="shared" si="0"/>
        <v>19.68159</v>
      </c>
      <c r="T20" s="120">
        <f t="shared" si="0"/>
        <v>19.792939999999998</v>
      </c>
      <c r="U20" s="120">
        <f t="shared" ref="U20:W20" si="1">(U21+U22+U23+U24-U25)</f>
        <v>19.908730000000002</v>
      </c>
      <c r="V20" s="120">
        <f t="shared" si="1"/>
        <v>20.013470000000002</v>
      </c>
      <c r="W20" s="120">
        <f t="shared" si="1"/>
        <v>20.083189999999998</v>
      </c>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row>
    <row r="21" spans="1:54" x14ac:dyDescent="0.2">
      <c r="A21" s="45"/>
      <c r="B21" s="121" t="s">
        <v>31</v>
      </c>
      <c r="C21" s="44">
        <v>0</v>
      </c>
      <c r="D21" s="120">
        <v>6.5490499999999994</v>
      </c>
      <c r="E21" s="120">
        <v>6.6192000000000002</v>
      </c>
      <c r="F21" s="120">
        <v>6.7755800000000006</v>
      </c>
      <c r="G21" s="120">
        <v>6.8338200000000002</v>
      </c>
      <c r="H21" s="120">
        <v>6.9263300000000001</v>
      </c>
      <c r="I21" s="120">
        <v>7.0253800000000002</v>
      </c>
      <c r="J21" s="120">
        <v>7.0674299999999999</v>
      </c>
      <c r="K21" s="120">
        <v>7.1729000000000003</v>
      </c>
      <c r="L21" s="120">
        <v>7.2915299999999998</v>
      </c>
      <c r="M21" s="120">
        <v>7.4169799999999997</v>
      </c>
      <c r="N21" s="120">
        <v>7.5167399999999995</v>
      </c>
      <c r="O21" s="120">
        <v>7.6082800000000006</v>
      </c>
      <c r="P21" s="120">
        <v>7.6923699999999995</v>
      </c>
      <c r="Q21" s="120">
        <v>7.7164599999999997</v>
      </c>
      <c r="R21" s="120">
        <v>7.7938900000000002</v>
      </c>
      <c r="S21" s="120">
        <v>7.8701699999999999</v>
      </c>
      <c r="T21" s="120">
        <v>7.8827699999999998</v>
      </c>
      <c r="U21" s="120">
        <v>7.9394800000000005</v>
      </c>
      <c r="V21" s="120">
        <v>7.9788799999999993</v>
      </c>
      <c r="W21" s="120">
        <v>7.9520800000000005</v>
      </c>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row>
    <row r="22" spans="1:54" x14ac:dyDescent="0.2">
      <c r="A22" s="45"/>
      <c r="B22" s="122" t="s">
        <v>32</v>
      </c>
      <c r="C22" s="44">
        <v>0</v>
      </c>
      <c r="D22" s="120">
        <v>5.7374599999999996</v>
      </c>
      <c r="E22" s="120">
        <v>5.7586400000000006</v>
      </c>
      <c r="F22" s="120">
        <v>5.7791600000000001</v>
      </c>
      <c r="G22" s="120">
        <v>5.8075599999999996</v>
      </c>
      <c r="H22" s="120">
        <v>5.8350399999999993</v>
      </c>
      <c r="I22" s="120">
        <v>5.8626699999999996</v>
      </c>
      <c r="J22" s="120">
        <v>5.89039</v>
      </c>
      <c r="K22" s="120">
        <v>5.9172399999999996</v>
      </c>
      <c r="L22" s="120">
        <v>5.9423300000000001</v>
      </c>
      <c r="M22" s="120">
        <v>5.9664000000000001</v>
      </c>
      <c r="N22" s="120">
        <v>5.9890299999999996</v>
      </c>
      <c r="O22" s="120">
        <v>6.0122799999999996</v>
      </c>
      <c r="P22" s="120">
        <v>6.0307399999999998</v>
      </c>
      <c r="Q22" s="120">
        <v>6.0510999999999999</v>
      </c>
      <c r="R22" s="120">
        <v>6.0699199999999998</v>
      </c>
      <c r="S22" s="120">
        <v>6.0877100000000004</v>
      </c>
      <c r="T22" s="120">
        <v>6.1063499999999999</v>
      </c>
      <c r="U22" s="120">
        <v>6.12385</v>
      </c>
      <c r="V22" s="120">
        <v>6.14147</v>
      </c>
      <c r="W22" s="120">
        <v>6.1589499999999999</v>
      </c>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row>
    <row r="23" spans="1:54" x14ac:dyDescent="0.2">
      <c r="A23" s="45"/>
      <c r="B23" s="122" t="s">
        <v>33</v>
      </c>
      <c r="C23" s="44">
        <v>0</v>
      </c>
      <c r="D23" s="120">
        <v>3.8319699999999997</v>
      </c>
      <c r="E23" s="120">
        <v>3.8460300000000003</v>
      </c>
      <c r="F23" s="120">
        <v>3.8652199999999999</v>
      </c>
      <c r="G23" s="120">
        <v>3.8906999999999998</v>
      </c>
      <c r="H23" s="120">
        <v>3.93255</v>
      </c>
      <c r="I23" s="120">
        <v>4.0767899999999999</v>
      </c>
      <c r="J23" s="120">
        <v>4.12784</v>
      </c>
      <c r="K23" s="120">
        <v>4.1807799999999995</v>
      </c>
      <c r="L23" s="120">
        <v>4.2329299999999996</v>
      </c>
      <c r="M23" s="120">
        <v>4.2968000000000002</v>
      </c>
      <c r="N23" s="120">
        <v>4.3682499999999997</v>
      </c>
      <c r="O23" s="120">
        <v>4.4333499999999999</v>
      </c>
      <c r="P23" s="120">
        <v>4.4945400000000006</v>
      </c>
      <c r="Q23" s="120">
        <v>4.5495200000000002</v>
      </c>
      <c r="R23" s="120">
        <v>4.6086400000000003</v>
      </c>
      <c r="S23" s="120">
        <v>4.6764200000000002</v>
      </c>
      <c r="T23" s="120">
        <v>4.73611</v>
      </c>
      <c r="U23" s="120">
        <v>4.7851100000000004</v>
      </c>
      <c r="V23" s="120">
        <v>4.83094</v>
      </c>
      <c r="W23" s="120">
        <v>4.8718300000000001</v>
      </c>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row>
    <row r="24" spans="1:54" x14ac:dyDescent="0.2">
      <c r="A24" s="45"/>
      <c r="B24" s="122" t="s">
        <v>34</v>
      </c>
      <c r="C24" s="44">
        <v>0</v>
      </c>
      <c r="D24" s="120">
        <v>4.8860999999999999</v>
      </c>
      <c r="E24" s="120">
        <v>4.7226799999999995</v>
      </c>
      <c r="F24" s="120">
        <v>4.5745399999999998</v>
      </c>
      <c r="G24" s="120">
        <v>4.4611400000000003</v>
      </c>
      <c r="H24" s="120">
        <v>4.3791799999999999</v>
      </c>
      <c r="I24" s="120">
        <v>4.31752</v>
      </c>
      <c r="J24" s="120">
        <v>4.2668400000000002</v>
      </c>
      <c r="K24" s="120">
        <v>4.2248800000000006</v>
      </c>
      <c r="L24" s="120">
        <v>4.1965900000000005</v>
      </c>
      <c r="M24" s="120">
        <v>4.1782199999999996</v>
      </c>
      <c r="N24" s="120">
        <v>4.1662100000000004</v>
      </c>
      <c r="O24" s="120">
        <v>4.1601699999999999</v>
      </c>
      <c r="P24" s="120">
        <v>4.1578400000000002</v>
      </c>
      <c r="Q24" s="120">
        <v>4.15761</v>
      </c>
      <c r="R24" s="120">
        <v>4.1598100000000002</v>
      </c>
      <c r="S24" s="120">
        <v>4.1632899999999999</v>
      </c>
      <c r="T24" s="120">
        <v>4.1684799999999997</v>
      </c>
      <c r="U24" s="120">
        <v>4.1719600000000003</v>
      </c>
      <c r="V24" s="120">
        <v>4.1731400000000001</v>
      </c>
      <c r="W24" s="120">
        <v>4.1729399999999996</v>
      </c>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row>
    <row r="25" spans="1:54" x14ac:dyDescent="0.2">
      <c r="A25" s="45"/>
      <c r="B25" s="122" t="s">
        <v>35</v>
      </c>
      <c r="C25" s="44">
        <v>0</v>
      </c>
      <c r="D25" s="120">
        <v>2.80715</v>
      </c>
      <c r="E25" s="120">
        <v>2.88863</v>
      </c>
      <c r="F25" s="120">
        <v>2.91459</v>
      </c>
      <c r="G25" s="120">
        <v>2.9264399999999999</v>
      </c>
      <c r="H25" s="120">
        <v>2.9417499999999999</v>
      </c>
      <c r="I25" s="120">
        <v>2.9548100000000002</v>
      </c>
      <c r="J25" s="120">
        <v>2.9634899999999997</v>
      </c>
      <c r="K25" s="120">
        <v>2.9731199999999998</v>
      </c>
      <c r="L25" s="120">
        <v>2.9866199999999998</v>
      </c>
      <c r="M25" s="120">
        <v>3.0026799999999998</v>
      </c>
      <c r="N25" s="120">
        <v>3.0074799999999997</v>
      </c>
      <c r="O25" s="120">
        <v>3.0428799999999998</v>
      </c>
      <c r="P25" s="120">
        <v>3.0733099999999998</v>
      </c>
      <c r="Q25" s="120">
        <v>3.0667900000000001</v>
      </c>
      <c r="R25" s="120">
        <v>3.09246</v>
      </c>
      <c r="S25" s="120">
        <v>3.1160000000000001</v>
      </c>
      <c r="T25" s="120">
        <v>3.1007699999999998</v>
      </c>
      <c r="U25" s="120">
        <v>3.1116700000000002</v>
      </c>
      <c r="V25" s="120">
        <v>3.1109599999999999</v>
      </c>
      <c r="W25" s="120">
        <v>3.0726100000000001</v>
      </c>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row>
    <row r="26" spans="1:54" x14ac:dyDescent="0.2">
      <c r="A26" s="45"/>
      <c r="B26" s="121" t="s">
        <v>36</v>
      </c>
      <c r="C26" s="44">
        <v>0.84586609999999995</v>
      </c>
      <c r="D26" s="120">
        <v>1.490273</v>
      </c>
      <c r="E26" s="120">
        <v>1.4554469999999999</v>
      </c>
      <c r="F26" s="120">
        <v>1.4206209999999999</v>
      </c>
      <c r="G26" s="120">
        <v>1.3857950000000001</v>
      </c>
      <c r="H26" s="120">
        <v>1.3509679999999999</v>
      </c>
      <c r="I26" s="120">
        <v>1.3161419999999999</v>
      </c>
      <c r="J26" s="120">
        <v>1.2813159999999999</v>
      </c>
      <c r="K26" s="120">
        <v>1.246489</v>
      </c>
      <c r="L26" s="120">
        <v>1.2116629999999999</v>
      </c>
      <c r="M26" s="120">
        <v>1.1768369999999999</v>
      </c>
      <c r="N26" s="120">
        <v>1.1420110000000001</v>
      </c>
      <c r="O26" s="120">
        <v>1.1071839999999999</v>
      </c>
      <c r="P26" s="120">
        <v>1.0723579999999999</v>
      </c>
      <c r="Q26" s="120">
        <v>1.0375319999999999</v>
      </c>
      <c r="R26" s="120">
        <v>1.002705</v>
      </c>
      <c r="S26" s="120">
        <v>0.96787920000000005</v>
      </c>
      <c r="T26" s="120">
        <v>0.93305300000000002</v>
      </c>
      <c r="U26" s="120">
        <v>0.89822679999999999</v>
      </c>
      <c r="V26" s="120">
        <v>0.86340059999999996</v>
      </c>
      <c r="W26" s="120">
        <v>0.82857429999999999</v>
      </c>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row>
    <row r="27" spans="1:54" x14ac:dyDescent="0.2">
      <c r="A27" s="45"/>
      <c r="B27" s="45"/>
      <c r="C27" s="45"/>
      <c r="D27" s="45"/>
      <c r="E27" s="45"/>
      <c r="F27" s="45"/>
      <c r="G27" s="45"/>
      <c r="H27" s="45"/>
      <c r="I27" s="45"/>
      <c r="J27" s="45"/>
      <c r="K27" s="45"/>
      <c r="L27" s="45"/>
      <c r="M27" s="45"/>
      <c r="N27" s="45"/>
      <c r="O27" s="45"/>
    </row>
    <row r="28" spans="1:54" s="114" customFormat="1" x14ac:dyDescent="0.2">
      <c r="A28" s="123"/>
      <c r="B28" s="115" t="s">
        <v>175</v>
      </c>
      <c r="C28" s="123"/>
      <c r="D28" s="123"/>
      <c r="E28" s="123"/>
      <c r="F28" s="123"/>
      <c r="G28" s="123"/>
      <c r="H28" s="123"/>
      <c r="I28" s="123"/>
      <c r="J28" s="123"/>
      <c r="K28" s="123"/>
      <c r="L28" s="123"/>
      <c r="M28" s="123"/>
      <c r="N28" s="123"/>
      <c r="O28" s="123"/>
    </row>
    <row r="29" spans="1:54" x14ac:dyDescent="0.2">
      <c r="A29" s="45"/>
      <c r="B29" s="117" t="s">
        <v>37</v>
      </c>
      <c r="C29" s="45"/>
      <c r="D29" s="45"/>
      <c r="E29" s="45"/>
      <c r="F29" s="45"/>
      <c r="G29" s="45"/>
      <c r="H29" s="45"/>
      <c r="I29" s="45"/>
      <c r="J29" s="45"/>
      <c r="K29" s="45"/>
      <c r="L29" s="45"/>
      <c r="M29" s="45"/>
      <c r="N29" s="45"/>
      <c r="O29" s="45"/>
    </row>
    <row r="30" spans="1:54" x14ac:dyDescent="0.2">
      <c r="A30" s="45"/>
      <c r="B30" s="45" t="s">
        <v>38</v>
      </c>
      <c r="C30" s="124">
        <v>6.1918569999999997</v>
      </c>
      <c r="D30" s="125">
        <v>4.3289179999999998</v>
      </c>
      <c r="E30" s="125">
        <v>9.7021999999999997E-2</v>
      </c>
      <c r="F30" s="125">
        <v>0.76041639999999999</v>
      </c>
      <c r="G30" s="125">
        <v>1.4546490000000001</v>
      </c>
      <c r="H30" s="125">
        <v>1.8523499999999999</v>
      </c>
      <c r="I30" s="125">
        <v>1.7025399999999999</v>
      </c>
      <c r="J30" s="125">
        <v>1.3549960000000001</v>
      </c>
      <c r="K30" s="125">
        <v>1.0625849999999999</v>
      </c>
      <c r="L30" s="125">
        <v>1.032675</v>
      </c>
      <c r="M30" s="125">
        <v>0.99759059999999999</v>
      </c>
      <c r="N30" s="125">
        <v>0.97505750000000002</v>
      </c>
      <c r="O30" s="125">
        <v>0.98748159999999996</v>
      </c>
      <c r="P30" s="126">
        <v>1.0150079999999999</v>
      </c>
      <c r="Q30" s="126">
        <v>1.0425329999999999</v>
      </c>
      <c r="R30" s="126">
        <v>1.070057</v>
      </c>
      <c r="S30" s="126">
        <v>1.179827</v>
      </c>
      <c r="T30" s="126">
        <v>1.2857700000000001</v>
      </c>
      <c r="U30" s="126">
        <v>1.4476530000000001</v>
      </c>
      <c r="V30" s="126">
        <v>1.6124210000000001</v>
      </c>
      <c r="W30" s="126">
        <v>1.664423</v>
      </c>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row>
    <row r="31" spans="1:54" x14ac:dyDescent="0.2">
      <c r="A31" s="45"/>
      <c r="B31" s="269" t="s">
        <v>149</v>
      </c>
      <c r="C31" s="124">
        <v>772.95439999999996</v>
      </c>
    </row>
    <row r="32" spans="1:54" x14ac:dyDescent="0.2">
      <c r="A32" s="45"/>
      <c r="B32" s="117" t="s">
        <v>40</v>
      </c>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row>
    <row r="33" spans="1:54" x14ac:dyDescent="0.2">
      <c r="A33" s="45"/>
      <c r="B33" s="45" t="s">
        <v>38</v>
      </c>
      <c r="C33" s="124">
        <v>1.8422810000000001</v>
      </c>
      <c r="D33" s="125">
        <v>1.9274249999999999</v>
      </c>
      <c r="E33" s="125">
        <v>2.1249989999999999</v>
      </c>
      <c r="F33" s="125">
        <v>1.8270709999999999</v>
      </c>
      <c r="G33" s="125">
        <v>1.6647529999999999</v>
      </c>
      <c r="H33" s="125">
        <v>1.417441</v>
      </c>
      <c r="I33" s="125">
        <v>1.126789</v>
      </c>
      <c r="J33" s="125">
        <v>1.068918</v>
      </c>
      <c r="K33" s="125">
        <v>1.062586</v>
      </c>
      <c r="L33" s="125">
        <v>1.032673</v>
      </c>
      <c r="M33" s="125">
        <v>0.99758860000000005</v>
      </c>
      <c r="N33" s="125">
        <v>0.97505430000000004</v>
      </c>
      <c r="O33" s="125">
        <v>0.98748060000000004</v>
      </c>
      <c r="P33" s="126">
        <v>1.0150060000000001</v>
      </c>
      <c r="Q33" s="126">
        <v>1.042532</v>
      </c>
      <c r="R33" s="126">
        <v>1.070058</v>
      </c>
      <c r="S33" s="126">
        <v>1.1798299999999999</v>
      </c>
      <c r="T33" s="126">
        <v>1.285768</v>
      </c>
      <c r="U33" s="126">
        <v>1.4476530000000001</v>
      </c>
      <c r="V33" s="126">
        <v>1.6124210000000001</v>
      </c>
      <c r="W33" s="126">
        <v>1.6644220000000001</v>
      </c>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row>
    <row r="34" spans="1:54" x14ac:dyDescent="0.2">
      <c r="A34" s="45"/>
      <c r="B34" s="269" t="s">
        <v>149</v>
      </c>
      <c r="C34" s="124">
        <v>775.59760000000006</v>
      </c>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row>
    <row r="35" spans="1:54" x14ac:dyDescent="0.2">
      <c r="A35" s="45"/>
      <c r="B35" s="269"/>
      <c r="C35" s="124"/>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row>
    <row r="36" spans="1:54" s="114" customFormat="1" x14ac:dyDescent="0.2">
      <c r="A36" s="123"/>
      <c r="B36" s="115" t="s">
        <v>190</v>
      </c>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row>
    <row r="37" spans="1:54" x14ac:dyDescent="0.2">
      <c r="A37" s="45"/>
      <c r="B37" s="45" t="s">
        <v>41</v>
      </c>
      <c r="C37" s="44">
        <v>1.082266</v>
      </c>
      <c r="D37" s="119">
        <v>1.1515390000000001</v>
      </c>
      <c r="E37" s="119">
        <v>1.3576170000000001</v>
      </c>
      <c r="F37" s="119">
        <v>1.5744320000000001</v>
      </c>
      <c r="G37" s="119">
        <v>1.603952</v>
      </c>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row>
    <row r="38" spans="1:54" x14ac:dyDescent="0.2">
      <c r="A38" s="45"/>
      <c r="B38" s="121" t="s">
        <v>42</v>
      </c>
      <c r="D38" s="119">
        <v>0.35</v>
      </c>
      <c r="E38" s="119">
        <v>3.43</v>
      </c>
      <c r="F38" s="259">
        <v>3.5642079999999998</v>
      </c>
      <c r="G38" s="260">
        <v>2.8163749999999999</v>
      </c>
      <c r="H38" s="44"/>
    </row>
    <row r="39" spans="1:54" x14ac:dyDescent="0.2">
      <c r="A39" s="45"/>
      <c r="B39" s="121" t="s">
        <v>43</v>
      </c>
      <c r="D39" s="119">
        <v>1.38</v>
      </c>
      <c r="E39" s="119">
        <v>2.79</v>
      </c>
      <c r="F39" s="261">
        <v>2.7206269999999999</v>
      </c>
      <c r="G39" s="262">
        <v>2.7825880000000001</v>
      </c>
      <c r="H39" s="44"/>
    </row>
    <row r="40" spans="1:54" x14ac:dyDescent="0.2">
      <c r="A40" s="45"/>
      <c r="B40" s="122"/>
      <c r="C40" s="44"/>
      <c r="D40" s="44"/>
      <c r="E40" s="127"/>
      <c r="F40" s="258" t="s">
        <v>49</v>
      </c>
      <c r="G40" s="127"/>
      <c r="H40" s="127"/>
      <c r="I40" s="127"/>
      <c r="J40" s="127"/>
      <c r="K40" s="127"/>
      <c r="L40" s="127"/>
      <c r="M40" s="127"/>
      <c r="N40" s="127"/>
      <c r="O40" s="127"/>
      <c r="P40" s="127"/>
      <c r="Q40" s="127"/>
      <c r="R40" s="127"/>
      <c r="S40" s="127"/>
      <c r="T40" s="127"/>
      <c r="U40" s="127"/>
      <c r="V40" s="127"/>
      <c r="W40" s="127"/>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row>
    <row r="41" spans="1:54" s="114" customFormat="1" x14ac:dyDescent="0.2">
      <c r="A41" s="123"/>
      <c r="B41" s="128" t="s">
        <v>191</v>
      </c>
      <c r="C41" s="129"/>
      <c r="D41" s="129"/>
      <c r="E41" s="129"/>
      <c r="F41" s="129"/>
      <c r="G41" s="130"/>
      <c r="H41" s="130"/>
      <c r="I41" s="130"/>
      <c r="J41" s="130"/>
      <c r="K41" s="130"/>
      <c r="L41" s="130"/>
      <c r="M41" s="130"/>
      <c r="N41" s="130"/>
      <c r="O41" s="130"/>
      <c r="P41" s="130"/>
      <c r="Q41" s="130"/>
      <c r="R41" s="130"/>
      <c r="S41" s="130"/>
      <c r="T41" s="130"/>
      <c r="U41" s="130"/>
      <c r="V41" s="130"/>
      <c r="W41" s="130"/>
      <c r="X41" s="129"/>
      <c r="Y41" s="129"/>
      <c r="Z41" s="129"/>
      <c r="AA41" s="129"/>
      <c r="AB41" s="129"/>
      <c r="AC41" s="129"/>
      <c r="AD41" s="129"/>
      <c r="AE41" s="129"/>
      <c r="AF41" s="129"/>
      <c r="AG41" s="129"/>
      <c r="AH41" s="129"/>
      <c r="AI41" s="129"/>
      <c r="AJ41" s="129"/>
      <c r="AK41" s="129"/>
      <c r="AL41" s="129"/>
      <c r="AM41" s="129"/>
      <c r="AN41" s="129"/>
      <c r="AO41" s="129"/>
      <c r="AP41" s="129"/>
      <c r="AQ41" s="129"/>
      <c r="AR41" s="129"/>
      <c r="AS41" s="129"/>
      <c r="AT41" s="129"/>
      <c r="AU41" s="129"/>
      <c r="AV41" s="129"/>
      <c r="AW41" s="129"/>
      <c r="AX41" s="129"/>
      <c r="AY41" s="129"/>
      <c r="AZ41" s="129"/>
      <c r="BA41" s="129"/>
      <c r="BB41" s="129"/>
    </row>
    <row r="42" spans="1:54" x14ac:dyDescent="0.2">
      <c r="A42" s="45"/>
      <c r="B42" s="45" t="s">
        <v>44</v>
      </c>
      <c r="C42" s="44">
        <v>2.9245130000000001</v>
      </c>
      <c r="D42" s="119">
        <v>5.5352230000000002</v>
      </c>
      <c r="E42" s="119">
        <v>7.7757829999999997</v>
      </c>
      <c r="F42" s="119">
        <v>3.72648</v>
      </c>
      <c r="G42" s="119">
        <v>2.2520359999999999</v>
      </c>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row>
    <row r="43" spans="1:54" x14ac:dyDescent="0.2">
      <c r="A43" s="45"/>
    </row>
    <row r="44" spans="1:54" s="114" customFormat="1" x14ac:dyDescent="0.2">
      <c r="A44" s="123"/>
      <c r="B44" s="128" t="s">
        <v>192</v>
      </c>
      <c r="C44" s="129"/>
      <c r="D44" s="129"/>
      <c r="E44" s="129"/>
      <c r="F44" s="129"/>
      <c r="G44" s="130"/>
      <c r="H44" s="130"/>
      <c r="I44" s="130"/>
      <c r="J44" s="130"/>
      <c r="K44" s="130"/>
      <c r="L44" s="130"/>
      <c r="M44" s="130"/>
      <c r="N44" s="130"/>
      <c r="O44" s="130"/>
      <c r="P44" s="130"/>
      <c r="Q44" s="130"/>
      <c r="R44" s="130"/>
      <c r="S44" s="130"/>
      <c r="T44" s="130"/>
      <c r="U44" s="130"/>
      <c r="V44" s="130"/>
      <c r="W44" s="130"/>
      <c r="X44" s="129"/>
      <c r="Y44" s="129"/>
      <c r="Z44" s="129"/>
      <c r="AA44" s="129"/>
      <c r="AB44" s="129"/>
      <c r="AC44" s="129"/>
      <c r="AD44" s="129"/>
      <c r="AE44" s="129"/>
      <c r="AF44" s="129"/>
      <c r="AG44" s="129"/>
      <c r="AH44" s="129"/>
      <c r="AI44" s="129"/>
      <c r="AJ44" s="129"/>
      <c r="AK44" s="129"/>
      <c r="AL44" s="129"/>
      <c r="AM44" s="129"/>
      <c r="AN44" s="129"/>
      <c r="AO44" s="129"/>
      <c r="AP44" s="129"/>
      <c r="AQ44" s="129"/>
      <c r="AR44" s="129"/>
      <c r="AS44" s="129"/>
      <c r="AT44" s="129"/>
      <c r="AU44" s="129"/>
      <c r="AV44" s="129"/>
      <c r="AW44" s="129"/>
      <c r="AX44" s="129"/>
      <c r="AY44" s="129"/>
      <c r="AZ44" s="129"/>
      <c r="BA44" s="129"/>
      <c r="BB44" s="129"/>
    </row>
    <row r="45" spans="1:54" x14ac:dyDescent="0.2">
      <c r="A45" s="45"/>
      <c r="B45" s="45" t="s">
        <v>15</v>
      </c>
      <c r="C45" s="44">
        <v>5.7208701855064952</v>
      </c>
      <c r="D45" s="119">
        <v>7.7843692724171865</v>
      </c>
      <c r="E45" s="119">
        <v>7.6971736647214657</v>
      </c>
      <c r="F45" s="119">
        <v>6.6313654883524142</v>
      </c>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row>
    <row r="46" spans="1:54" x14ac:dyDescent="0.2">
      <c r="A46" s="45"/>
    </row>
    <row r="47" spans="1:54" s="110" customFormat="1" x14ac:dyDescent="0.2">
      <c r="A47" s="112"/>
      <c r="B47" s="111" t="s">
        <v>45</v>
      </c>
      <c r="C47" s="131"/>
      <c r="D47" s="131"/>
    </row>
    <row r="48" spans="1:54" x14ac:dyDescent="0.2">
      <c r="A48" s="45"/>
      <c r="B48" s="132"/>
      <c r="C48" s="44"/>
      <c r="D48" s="44"/>
      <c r="E48" s="270" t="s">
        <v>132</v>
      </c>
    </row>
    <row r="49" spans="1:5" x14ac:dyDescent="0.2">
      <c r="A49" s="45"/>
      <c r="B49" s="45" t="s">
        <v>46</v>
      </c>
      <c r="C49" s="48">
        <v>0.75</v>
      </c>
      <c r="D49" s="44"/>
      <c r="E49" s="45" t="s">
        <v>47</v>
      </c>
    </row>
    <row r="50" spans="1:5" x14ac:dyDescent="0.2">
      <c r="A50" s="45"/>
      <c r="B50" s="45" t="s">
        <v>193</v>
      </c>
      <c r="C50" s="44">
        <v>0.60499999999999998</v>
      </c>
      <c r="D50" s="44"/>
      <c r="E50" s="45" t="s">
        <v>48</v>
      </c>
    </row>
    <row r="51" spans="1:5" x14ac:dyDescent="0.2">
      <c r="A51" s="45"/>
      <c r="B51" s="45"/>
      <c r="C51" s="44"/>
      <c r="D51" s="44"/>
    </row>
    <row r="52" spans="1:5" x14ac:dyDescent="0.2">
      <c r="A52" s="45"/>
      <c r="B52" s="121" t="s">
        <v>180</v>
      </c>
      <c r="C52" s="133">
        <v>2.85039</v>
      </c>
      <c r="D52" s="44"/>
      <c r="E52" s="45" t="s">
        <v>49</v>
      </c>
    </row>
    <row r="53" spans="1:5" x14ac:dyDescent="0.2">
      <c r="A53" s="45"/>
      <c r="B53" s="121" t="s">
        <v>181</v>
      </c>
      <c r="C53" s="133">
        <v>2.7260900000000001</v>
      </c>
      <c r="D53" s="44"/>
      <c r="E53" s="45" t="s">
        <v>49</v>
      </c>
    </row>
    <row r="54" spans="1:5" x14ac:dyDescent="0.2">
      <c r="A54" s="45"/>
      <c r="B54" s="121" t="s">
        <v>182</v>
      </c>
      <c r="C54" s="119">
        <v>4</v>
      </c>
      <c r="D54" s="44"/>
      <c r="E54" s="45" t="s">
        <v>50</v>
      </c>
    </row>
    <row r="55" spans="1:5" x14ac:dyDescent="0.2">
      <c r="A55" s="45"/>
      <c r="B55" s="121" t="s">
        <v>183</v>
      </c>
      <c r="C55" s="119">
        <v>2</v>
      </c>
      <c r="D55" s="44"/>
      <c r="E55" s="45" t="s">
        <v>50</v>
      </c>
    </row>
    <row r="56" spans="1:5" x14ac:dyDescent="0.2">
      <c r="A56" s="45"/>
      <c r="B56" s="121"/>
      <c r="C56" s="44"/>
      <c r="D56" s="44"/>
    </row>
    <row r="57" spans="1:5" x14ac:dyDescent="0.2">
      <c r="A57" s="45"/>
      <c r="B57" s="45" t="s">
        <v>51</v>
      </c>
      <c r="C57" s="124">
        <v>8.2259799999999994E-2</v>
      </c>
      <c r="D57" s="147"/>
      <c r="E57" s="269" t="s">
        <v>133</v>
      </c>
    </row>
    <row r="58" spans="1:5" x14ac:dyDescent="0.2">
      <c r="A58" s="45"/>
      <c r="B58" s="45" t="s">
        <v>52</v>
      </c>
      <c r="C58" s="23">
        <f>1-C57</f>
        <v>0.91774020000000001</v>
      </c>
      <c r="E58" s="269" t="s">
        <v>133</v>
      </c>
    </row>
    <row r="59" spans="1:5" x14ac:dyDescent="0.2">
      <c r="A59" s="45"/>
      <c r="B59" s="45" t="s">
        <v>184</v>
      </c>
      <c r="C59" s="124">
        <v>9.5462599999999995E-2</v>
      </c>
      <c r="E59" s="269" t="s">
        <v>134</v>
      </c>
    </row>
    <row r="60" spans="1:5" x14ac:dyDescent="0.2">
      <c r="A60" s="45"/>
      <c r="B60" s="45"/>
      <c r="C60" s="124"/>
    </row>
    <row r="61" spans="1:5" x14ac:dyDescent="0.2">
      <c r="A61" s="45"/>
      <c r="B61" s="45" t="s">
        <v>185</v>
      </c>
      <c r="C61" s="134">
        <v>2.5499999999999998</v>
      </c>
      <c r="E61" s="45" t="s">
        <v>53</v>
      </c>
    </row>
    <row r="62" spans="1:5" x14ac:dyDescent="0.2">
      <c r="A62" s="45"/>
      <c r="B62" s="45" t="s">
        <v>186</v>
      </c>
      <c r="C62" s="124">
        <v>2</v>
      </c>
      <c r="E62" s="45" t="s">
        <v>54</v>
      </c>
    </row>
    <row r="63" spans="1:5" x14ac:dyDescent="0.2">
      <c r="A63" s="45"/>
      <c r="B63" s="45"/>
      <c r="C63" s="124"/>
      <c r="E63" s="45"/>
    </row>
    <row r="64" spans="1:5" x14ac:dyDescent="0.2">
      <c r="A64" s="45"/>
      <c r="B64" s="45" t="s">
        <v>179</v>
      </c>
      <c r="C64" s="119">
        <v>43.981271716454337</v>
      </c>
      <c r="E64" s="45" t="s">
        <v>174</v>
      </c>
    </row>
    <row r="65" spans="1:7" x14ac:dyDescent="0.2">
      <c r="A65" s="45"/>
      <c r="B65" s="45"/>
      <c r="C65" s="124"/>
      <c r="E65" s="45"/>
    </row>
    <row r="66" spans="1:7" x14ac:dyDescent="0.2">
      <c r="A66" s="45"/>
      <c r="B66" s="45" t="s">
        <v>55</v>
      </c>
      <c r="C66" s="138">
        <v>0.7845008244093794</v>
      </c>
      <c r="D66" s="1"/>
      <c r="E66" s="45" t="s">
        <v>56</v>
      </c>
    </row>
    <row r="67" spans="1:7" x14ac:dyDescent="0.2">
      <c r="A67" s="45"/>
      <c r="B67" s="268" t="s">
        <v>135</v>
      </c>
      <c r="C67" s="138">
        <v>7.7014337502388661E-2</v>
      </c>
      <c r="D67" s="1"/>
      <c r="E67" s="45" t="s">
        <v>56</v>
      </c>
    </row>
    <row r="68" spans="1:7" x14ac:dyDescent="0.2">
      <c r="A68" s="45"/>
      <c r="B68" s="268" t="s">
        <v>136</v>
      </c>
      <c r="C68" s="138">
        <v>7.4206139446263392E-2</v>
      </c>
      <c r="D68" s="1"/>
      <c r="E68" s="45" t="s">
        <v>56</v>
      </c>
    </row>
    <row r="69" spans="1:7" x14ac:dyDescent="0.2">
      <c r="A69" s="45"/>
      <c r="B69" s="121" t="s">
        <v>57</v>
      </c>
      <c r="C69" s="138">
        <v>5.9181183758516866E-2</v>
      </c>
      <c r="D69" s="1"/>
      <c r="E69" s="45" t="s">
        <v>56</v>
      </c>
    </row>
    <row r="70" spans="1:7" x14ac:dyDescent="0.2">
      <c r="A70" s="45"/>
      <c r="B70" s="121" t="s">
        <v>58</v>
      </c>
      <c r="C70" s="138">
        <v>5.0975388198479001E-3</v>
      </c>
      <c r="D70" s="1"/>
      <c r="E70" s="45" t="s">
        <v>56</v>
      </c>
    </row>
    <row r="71" spans="1:7" x14ac:dyDescent="0.2">
      <c r="A71" s="45"/>
      <c r="B71" s="121"/>
      <c r="C71" s="44"/>
      <c r="E71" s="45"/>
    </row>
    <row r="72" spans="1:7" s="110" customFormat="1" x14ac:dyDescent="0.2">
      <c r="B72" s="111"/>
      <c r="C72" s="131"/>
      <c r="D72" s="131"/>
    </row>
    <row r="73" spans="1:7" x14ac:dyDescent="0.2">
      <c r="B73" s="135"/>
      <c r="C73" s="136"/>
      <c r="D73" s="136"/>
      <c r="E73" s="137"/>
      <c r="F73" s="137"/>
      <c r="G73" s="137"/>
    </row>
    <row r="74" spans="1:7" x14ac:dyDescent="0.2">
      <c r="A74" s="45"/>
      <c r="B74" s="269"/>
      <c r="C74" s="23"/>
      <c r="D74" s="23"/>
      <c r="E74" s="23"/>
      <c r="F74" s="23"/>
      <c r="G74" s="23"/>
    </row>
    <row r="75" spans="1:7" x14ac:dyDescent="0.2">
      <c r="A75" s="45"/>
      <c r="B75" s="269"/>
      <c r="C75" s="23"/>
      <c r="D75" s="23"/>
      <c r="E75" s="23"/>
      <c r="F75" s="23"/>
      <c r="G75" s="23"/>
    </row>
    <row r="76" spans="1:7" x14ac:dyDescent="0.2">
      <c r="A76" s="45"/>
      <c r="B76" s="269"/>
      <c r="C76" s="23"/>
      <c r="D76" s="23"/>
      <c r="E76" s="23"/>
      <c r="F76" s="23"/>
      <c r="G76" s="23"/>
    </row>
    <row r="77" spans="1:7" x14ac:dyDescent="0.2">
      <c r="A77" s="45"/>
      <c r="B77" s="269"/>
      <c r="C77" s="23"/>
      <c r="D77" s="23"/>
      <c r="E77" s="23"/>
      <c r="F77" s="23"/>
      <c r="G77" s="23"/>
    </row>
  </sheetData>
  <phoneticPr fontId="14" type="noConversion"/>
  <pageMargins left="0.7" right="0.7" top="0.75" bottom="0.75" header="0.3" footer="0.3"/>
  <pageSetup paperSize="9" orientation="portrait" r:id="rId1"/>
  <ignoredErrors>
    <ignoredError sqref="X58:Y58 C4:C5 D58 F58:W58 C18:Y20 C5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70C0"/>
  </sheetPr>
  <dimension ref="A1:AY123"/>
  <sheetViews>
    <sheetView zoomScaleNormal="100" workbookViewId="0"/>
  </sheetViews>
  <sheetFormatPr defaultColWidth="9.28515625" defaultRowHeight="11.25" outlineLevelRow="1" x14ac:dyDescent="0.2"/>
  <cols>
    <col min="1" max="1" width="9.28515625" style="15" customWidth="1"/>
    <col min="2" max="2" width="57.42578125" style="15" customWidth="1"/>
    <col min="3" max="38" width="9.28515625" style="15" customWidth="1"/>
    <col min="39" max="48" width="11.42578125" style="15" bestFit="1" customWidth="1"/>
    <col min="49" max="16384" width="9.28515625" style="15"/>
  </cols>
  <sheetData>
    <row r="1" spans="1:51" ht="24.75" customHeight="1" x14ac:dyDescent="0.2">
      <c r="B1" s="28"/>
    </row>
    <row r="2" spans="1:51" ht="11.25" customHeight="1" x14ac:dyDescent="0.2">
      <c r="B2" s="16"/>
    </row>
    <row r="3" spans="1:51" ht="11.25" customHeight="1" x14ac:dyDescent="0.2">
      <c r="B3" s="8" t="s">
        <v>11</v>
      </c>
      <c r="C3" s="9" t="str">
        <f>'Input data'!C3</f>
        <v>NL</v>
      </c>
    </row>
    <row r="4" spans="1:51" x14ac:dyDescent="0.2">
      <c r="B4" s="49" t="s">
        <v>16</v>
      </c>
      <c r="C4" s="10"/>
    </row>
    <row r="5" spans="1:51" x14ac:dyDescent="0.2">
      <c r="A5" s="18"/>
      <c r="B5" s="11" t="str">
        <f>'Input data'!B5</f>
        <v>Last year before the adjustment</v>
      </c>
      <c r="C5" s="12">
        <f>+'Input data'!C5</f>
        <v>2024</v>
      </c>
    </row>
    <row r="6" spans="1:51" x14ac:dyDescent="0.2">
      <c r="A6" s="18"/>
      <c r="B6" s="50" t="s">
        <v>22</v>
      </c>
      <c r="C6" s="12">
        <f>+C5+'Criteria results'!$F$5</f>
        <v>2028</v>
      </c>
      <c r="E6" s="30"/>
      <c r="F6" s="18"/>
    </row>
    <row r="7" spans="1:51" x14ac:dyDescent="0.2">
      <c r="A7" s="18"/>
      <c r="B7" s="13"/>
      <c r="C7" s="51"/>
      <c r="E7" s="30"/>
      <c r="F7" s="18"/>
    </row>
    <row r="8" spans="1:51" x14ac:dyDescent="0.2">
      <c r="A8" s="18"/>
      <c r="C8" s="18"/>
      <c r="E8" s="30"/>
      <c r="F8" s="18"/>
    </row>
    <row r="9" spans="1:51" s="56" customFormat="1" ht="12.75" x14ac:dyDescent="0.2">
      <c r="B9" s="14" t="s">
        <v>23</v>
      </c>
    </row>
    <row r="10" spans="1:51" x14ac:dyDescent="0.2">
      <c r="C10" s="20">
        <v>2021</v>
      </c>
      <c r="D10" s="20">
        <v>2022</v>
      </c>
      <c r="E10" s="20">
        <v>2023</v>
      </c>
      <c r="F10" s="20">
        <v>2024</v>
      </c>
      <c r="G10" s="20">
        <v>2025</v>
      </c>
      <c r="H10" s="20">
        <v>2026</v>
      </c>
      <c r="I10" s="20">
        <v>2027</v>
      </c>
      <c r="J10" s="20">
        <v>2028</v>
      </c>
      <c r="K10" s="20">
        <v>2029</v>
      </c>
      <c r="L10" s="20">
        <v>2030</v>
      </c>
      <c r="M10" s="20">
        <v>2031</v>
      </c>
      <c r="N10" s="20">
        <v>2032</v>
      </c>
      <c r="O10" s="20">
        <v>2033</v>
      </c>
      <c r="P10" s="20">
        <v>2034</v>
      </c>
      <c r="Q10" s="20">
        <v>2035</v>
      </c>
      <c r="R10" s="20">
        <v>2036</v>
      </c>
      <c r="S10" s="20">
        <v>2037</v>
      </c>
      <c r="T10" s="20">
        <v>2038</v>
      </c>
      <c r="U10" s="20">
        <v>2039</v>
      </c>
      <c r="V10" s="20">
        <v>2040</v>
      </c>
      <c r="W10" s="20">
        <v>2041</v>
      </c>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row>
    <row r="11" spans="1:51" x14ac:dyDescent="0.2">
      <c r="B11" s="17" t="s">
        <v>24</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row>
    <row r="12" spans="1:51" x14ac:dyDescent="0.2">
      <c r="B12" s="15" t="s">
        <v>26</v>
      </c>
      <c r="C12" s="1">
        <f>'Input data'!C13</f>
        <v>-1.3850450000000001</v>
      </c>
      <c r="D12" s="1">
        <f>'Input data'!D13</f>
        <v>-0.58009900000000003</v>
      </c>
      <c r="E12" s="2">
        <f>'Input data'!E13</f>
        <v>-0.18470490000000001</v>
      </c>
      <c r="F12" s="2">
        <f>'Input data'!F13</f>
        <v>-0.64168910000000001</v>
      </c>
      <c r="G12" s="1">
        <f>F12</f>
        <v>-0.64168910000000001</v>
      </c>
      <c r="H12" s="1">
        <f t="shared" ref="H12:W12" si="0">G12</f>
        <v>-0.64168910000000001</v>
      </c>
      <c r="I12" s="1">
        <f t="shared" si="0"/>
        <v>-0.64168910000000001</v>
      </c>
      <c r="J12" s="1">
        <f t="shared" si="0"/>
        <v>-0.64168910000000001</v>
      </c>
      <c r="K12" s="1">
        <f t="shared" si="0"/>
        <v>-0.64168910000000001</v>
      </c>
      <c r="L12" s="1">
        <f t="shared" si="0"/>
        <v>-0.64168910000000001</v>
      </c>
      <c r="M12" s="1">
        <f t="shared" si="0"/>
        <v>-0.64168910000000001</v>
      </c>
      <c r="N12" s="1">
        <f t="shared" si="0"/>
        <v>-0.64168910000000001</v>
      </c>
      <c r="O12" s="1">
        <f t="shared" si="0"/>
        <v>-0.64168910000000001</v>
      </c>
      <c r="P12" s="1">
        <f t="shared" si="0"/>
        <v>-0.64168910000000001</v>
      </c>
      <c r="Q12" s="1">
        <f t="shared" si="0"/>
        <v>-0.64168910000000001</v>
      </c>
      <c r="R12" s="1">
        <f t="shared" si="0"/>
        <v>-0.64168910000000001</v>
      </c>
      <c r="S12" s="1">
        <f t="shared" si="0"/>
        <v>-0.64168910000000001</v>
      </c>
      <c r="T12" s="1">
        <f t="shared" si="0"/>
        <v>-0.64168910000000001</v>
      </c>
      <c r="U12" s="1">
        <f t="shared" si="0"/>
        <v>-0.64168910000000001</v>
      </c>
      <c r="V12" s="1">
        <f t="shared" si="0"/>
        <v>-0.64168910000000001</v>
      </c>
      <c r="W12" s="1">
        <f t="shared" si="0"/>
        <v>-0.64168910000000001</v>
      </c>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5"/>
    </row>
    <row r="13" spans="1:51" x14ac:dyDescent="0.2">
      <c r="B13" s="15" t="s">
        <v>27</v>
      </c>
      <c r="C13" s="1">
        <f>'Input data'!C14</f>
        <v>-0.1033785</v>
      </c>
      <c r="D13" s="1">
        <f>'Input data'!D14</f>
        <v>-0.1877838</v>
      </c>
      <c r="E13" s="2">
        <f>'Input data'!E14</f>
        <v>0.48351880000000003</v>
      </c>
      <c r="F13" s="2">
        <f>'Input data'!F14</f>
        <v>0</v>
      </c>
      <c r="G13" s="2">
        <f>'Input data'!G14</f>
        <v>0</v>
      </c>
      <c r="H13" s="2">
        <v>0</v>
      </c>
      <c r="I13" s="2">
        <v>0</v>
      </c>
      <c r="J13" s="2">
        <v>0</v>
      </c>
      <c r="K13" s="2">
        <v>0</v>
      </c>
      <c r="L13" s="2">
        <v>0</v>
      </c>
      <c r="M13" s="2">
        <v>0</v>
      </c>
      <c r="N13" s="2">
        <v>0</v>
      </c>
      <c r="O13" s="2">
        <v>0</v>
      </c>
      <c r="P13" s="2">
        <v>0</v>
      </c>
      <c r="Q13" s="2">
        <v>0</v>
      </c>
      <c r="R13" s="2">
        <v>0</v>
      </c>
      <c r="S13" s="2">
        <v>0</v>
      </c>
      <c r="T13" s="2">
        <v>0</v>
      </c>
      <c r="U13" s="2">
        <v>0</v>
      </c>
      <c r="V13" s="2">
        <v>0</v>
      </c>
      <c r="W13" s="2">
        <v>0</v>
      </c>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5"/>
    </row>
    <row r="14" spans="1:51" x14ac:dyDescent="0.2">
      <c r="B14" s="15" t="s">
        <v>59</v>
      </c>
      <c r="C14" s="1">
        <f>'Input data'!C15</f>
        <v>-0.60671679999999995</v>
      </c>
      <c r="D14" s="1">
        <f>'Input data'!D15</f>
        <v>3.1287919999999998</v>
      </c>
      <c r="E14" s="2">
        <f>'Input data'!E15</f>
        <v>-0.33130710000000002</v>
      </c>
      <c r="F14" s="2">
        <f>'Input data'!F15</f>
        <v>0.6</v>
      </c>
      <c r="G14" s="2">
        <f>'Input data'!G15</f>
        <v>0.9</v>
      </c>
      <c r="H14" s="2">
        <f>'Input data'!H15</f>
        <v>0</v>
      </c>
      <c r="I14" s="2">
        <f>'Input data'!I15</f>
        <v>0</v>
      </c>
      <c r="J14" s="2">
        <f>'Input data'!J15</f>
        <v>0</v>
      </c>
      <c r="K14" s="2">
        <f>'Input data'!K15</f>
        <v>0</v>
      </c>
      <c r="L14" s="2">
        <f>'Input data'!L15</f>
        <v>0</v>
      </c>
      <c r="M14" s="2">
        <f>'Input data'!M15</f>
        <v>0</v>
      </c>
      <c r="N14" s="2">
        <f>'Input data'!N15</f>
        <v>0</v>
      </c>
      <c r="O14" s="2">
        <f>'Input data'!O15</f>
        <v>0</v>
      </c>
      <c r="P14" s="2">
        <f>'Input data'!P15</f>
        <v>0</v>
      </c>
      <c r="Q14" s="2">
        <f>'Input data'!Q15</f>
        <v>0</v>
      </c>
      <c r="R14" s="2">
        <f>'Input data'!R15</f>
        <v>0</v>
      </c>
      <c r="S14" s="2">
        <f>'Input data'!S15</f>
        <v>0</v>
      </c>
      <c r="T14" s="2">
        <f>'Input data'!T15</f>
        <v>0</v>
      </c>
      <c r="U14" s="2">
        <f>'Input data'!U15</f>
        <v>0</v>
      </c>
      <c r="V14" s="2">
        <f>'Input data'!V15</f>
        <v>0</v>
      </c>
      <c r="W14" s="2">
        <f>'Input data'!W15</f>
        <v>0</v>
      </c>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5"/>
    </row>
    <row r="15" spans="1:51" ht="5.65" customHeight="1" x14ac:dyDescent="0.2">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row>
    <row r="16" spans="1:51" ht="11.25" customHeight="1" x14ac:dyDescent="0.2">
      <c r="B16" s="19" t="str">
        <f>'Input data'!B19</f>
        <v>Cost of ageing and selected public revenue (based on the Commission-Council 2024 Ageing Report ("AR 2024"))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x14ac:dyDescent="0.2">
      <c r="A17" s="46"/>
      <c r="B17" s="15" t="s">
        <v>30</v>
      </c>
      <c r="C17" s="1">
        <f>'Input data'!C20</f>
        <v>0</v>
      </c>
      <c r="D17" s="1">
        <f>'Input data'!D20</f>
        <v>18.197429999999997</v>
      </c>
      <c r="E17" s="79">
        <f>'Input data'!E20</f>
        <v>18.057920000000003</v>
      </c>
      <c r="F17" s="79">
        <f>'Input data'!F20</f>
        <v>18.079909999999998</v>
      </c>
      <c r="G17" s="79">
        <f>'Input data'!G20</f>
        <v>18.066780000000001</v>
      </c>
      <c r="H17" s="79">
        <f>'Input data'!H20</f>
        <v>18.131349999999998</v>
      </c>
      <c r="I17" s="79">
        <f>'Input data'!I20</f>
        <v>18.327549999999995</v>
      </c>
      <c r="J17" s="79">
        <f>'Input data'!J20</f>
        <v>18.389009999999999</v>
      </c>
      <c r="K17" s="79">
        <f>'Input data'!K20</f>
        <v>18.522680000000001</v>
      </c>
      <c r="L17" s="79">
        <f>'Input data'!L20</f>
        <v>18.676760000000002</v>
      </c>
      <c r="M17" s="79">
        <f>'Input data'!M20</f>
        <v>18.855719999999998</v>
      </c>
      <c r="N17" s="79">
        <f>'Input data'!N20</f>
        <v>19.032749999999997</v>
      </c>
      <c r="O17" s="79">
        <f>'Input data'!O20</f>
        <v>19.171200000000002</v>
      </c>
      <c r="P17" s="79">
        <f>'Input data'!P20</f>
        <v>19.30218</v>
      </c>
      <c r="Q17" s="79">
        <f>'Input data'!Q20</f>
        <v>19.407900000000001</v>
      </c>
      <c r="R17" s="79">
        <f>'Input data'!R20</f>
        <v>19.539800000000003</v>
      </c>
      <c r="S17" s="79">
        <f>'Input data'!S20</f>
        <v>19.68159</v>
      </c>
      <c r="T17" s="79">
        <f>'Input data'!T20</f>
        <v>19.792939999999998</v>
      </c>
      <c r="U17" s="79">
        <f>'Input data'!U20</f>
        <v>19.908730000000002</v>
      </c>
      <c r="V17" s="79">
        <f>'Input data'!V20</f>
        <v>20.013470000000002</v>
      </c>
      <c r="W17" s="79">
        <f>'Input data'!W20</f>
        <v>20.083189999999998</v>
      </c>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row>
    <row r="18" spans="1:50" x14ac:dyDescent="0.2">
      <c r="A18" s="46"/>
      <c r="B18" s="15" t="str">
        <f>'Input data'!B26</f>
        <v>Property income</v>
      </c>
      <c r="C18" s="1">
        <f>'Input data'!C26</f>
        <v>0.84586609999999995</v>
      </c>
      <c r="D18" s="1">
        <f>'Input data'!D26</f>
        <v>1.490273</v>
      </c>
      <c r="E18" s="79">
        <f>'Input data'!E26</f>
        <v>1.4554469999999999</v>
      </c>
      <c r="F18" s="79">
        <f>'Input data'!F26</f>
        <v>1.4206209999999999</v>
      </c>
      <c r="G18" s="79">
        <f>'Input data'!G26</f>
        <v>1.3857950000000001</v>
      </c>
      <c r="H18" s="79">
        <f>'Input data'!H26</f>
        <v>1.3509679999999999</v>
      </c>
      <c r="I18" s="79">
        <f>'Input data'!I26</f>
        <v>1.3161419999999999</v>
      </c>
      <c r="J18" s="79">
        <f>'Input data'!J26</f>
        <v>1.2813159999999999</v>
      </c>
      <c r="K18" s="79">
        <f>'Input data'!K26</f>
        <v>1.246489</v>
      </c>
      <c r="L18" s="79">
        <f>'Input data'!L26</f>
        <v>1.2116629999999999</v>
      </c>
      <c r="M18" s="79">
        <f>'Input data'!M26</f>
        <v>1.1768369999999999</v>
      </c>
      <c r="N18" s="79">
        <f>'Input data'!N26</f>
        <v>1.1420110000000001</v>
      </c>
      <c r="O18" s="79">
        <f>'Input data'!O26</f>
        <v>1.1071839999999999</v>
      </c>
      <c r="P18" s="79">
        <f>'Input data'!P26</f>
        <v>1.0723579999999999</v>
      </c>
      <c r="Q18" s="79">
        <f>'Input data'!Q26</f>
        <v>1.0375319999999999</v>
      </c>
      <c r="R18" s="79">
        <f>'Input data'!R26</f>
        <v>1.002705</v>
      </c>
      <c r="S18" s="79">
        <f>'Input data'!S26</f>
        <v>0.96787920000000005</v>
      </c>
      <c r="T18" s="79">
        <f>'Input data'!T26</f>
        <v>0.93305300000000002</v>
      </c>
      <c r="U18" s="79">
        <f>'Input data'!U26</f>
        <v>0.89822679999999999</v>
      </c>
      <c r="V18" s="79">
        <f>'Input data'!V26</f>
        <v>0.86340059999999996</v>
      </c>
      <c r="W18" s="79">
        <f>'Input data'!W26</f>
        <v>0.82857429999999999</v>
      </c>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20" spans="1:50" x14ac:dyDescent="0.2">
      <c r="B20" s="17" t="s">
        <v>60</v>
      </c>
    </row>
    <row r="21" spans="1:50" ht="10.5" customHeight="1" x14ac:dyDescent="0.2">
      <c r="B21" s="19" t="s">
        <v>61</v>
      </c>
    </row>
    <row r="22" spans="1:50" x14ac:dyDescent="0.2">
      <c r="B22" s="15" t="s">
        <v>39</v>
      </c>
      <c r="C22" s="23">
        <f>'Input data'!C31</f>
        <v>772.95439999999996</v>
      </c>
      <c r="D22" s="23">
        <f>C22*(D23/100+1)</f>
        <v>806.41496215339191</v>
      </c>
      <c r="E22" s="78">
        <f t="shared" ref="E22:F22" si="1">D22*(E23/100+1)</f>
        <v>807.19736207797234</v>
      </c>
      <c r="F22" s="78">
        <f t="shared" si="1"/>
        <v>813.33542319958065</v>
      </c>
      <c r="G22" s="78">
        <f>F22*(G23/100+1)</f>
        <v>825.1665987997992</v>
      </c>
      <c r="H22" s="23">
        <f>IF(AND(H49&gt;1,G49&gt;1),IF(AND(H49&gt;0,G49&gt;0),H26*(H50/100+1),0)+IF(H49&gt;0,G22*(1+H51/100),0)-G22*(1+'Input data'!H30/100),IF(H49=1,H26,G22*(1+H51/100)))</f>
        <v>840.45157229266727</v>
      </c>
      <c r="I22" s="23">
        <f>IF(AND(I49&gt;1,H49&gt;1),IF(AND(I49&gt;0,H49&gt;0),I26*(I50/100+1),0)+IF(I49&gt;0,H22*(1+I51/100),0)-H22*(1+'Input data'!I30/100),IF(I49=1,I26,H22*(1+I51/100)))</f>
        <v>854.76059649157889</v>
      </c>
      <c r="J22" s="23">
        <f>IF(AND(J49&gt;1,I49&gt;1),IF(AND(J49&gt;0,I49&gt;0),J26*(J50/100+1),0)+IF(J49&gt;0,I22*(1+J51/100),0)-I22*(1+'Input data'!J30/100),IF(J49=1,J26,I22*(1+J51/100)))</f>
        <v>866.34256838361591</v>
      </c>
      <c r="K22" s="23">
        <f>IF(AND(K49&gt;1,J49&gt;1),IF(AND(K49&gt;0,J49&gt;0),K26*(K50/100+1),0)+IF(K49&gt;0,J22*(1+K51/100),0)-J22*(1+'Input data'!K30/100),IF(K49=1,K26,J22*(1+K51/100)))</f>
        <v>875.54819456387497</v>
      </c>
      <c r="L22" s="23">
        <f>IF(AND(L49&gt;1,K49&gt;1),IF(AND(L49&gt;0,K49&gt;0),L26*(L50/100+1),0)+IF(L49&gt;0,K22*(1+L51/100),0)-K22*(1+'Input data'!L30/100),IF(L49=1,L26,K22*(1+L51/100)))</f>
        <v>884.58976188208737</v>
      </c>
      <c r="M22" s="23">
        <f>IF(AND(M49&gt;1,L49&gt;1),IF(AND(M49&gt;0,L49&gt;0),M26*(M50/100+1),0)+IF(M49&gt;0,L22*(1+M51/100),0)-L22*(1+'Input data'!M30/100),IF(M49=1,M26,L22*(1+M51/100)))</f>
        <v>893.41434619518543</v>
      </c>
      <c r="N22" s="23">
        <f>IF(AND(N49&gt;1,M49&gt;1),IF(AND(N49&gt;0,M49&gt;0),N26*(N50/100+1),0)+IF(N49&gt;0,M22*(1+N51/100),0)-M22*(1+'Input data'!N30/100),IF(N49=1,N26,M22*(1+N51/100)))</f>
        <v>902.1256497838375</v>
      </c>
      <c r="O22" s="23">
        <f>IF(AND(O49&gt;1,N49&gt;1),IF(AND(O49&gt;0,N49&gt;0),O26*(O50/100+1),0)+IF(O49&gt;0,N22*(1+O51/100),0)-N22*(1+'Input data'!O30/100),IF(O49=1,O26,N22*(1+O51/100)))</f>
        <v>911.03397458433335</v>
      </c>
      <c r="P22" s="23">
        <f>IF(AND(P49&gt;1,O49&gt;1),IF(AND(P49&gt;0,O49&gt;0),P26*(P50/100+1),0)+IF(P49&gt;0,O22*(1+P51/100),0)-O22*(1+'Input data'!P30/100),IF(P49=1,P26,O22*(1+P51/100)))</f>
        <v>920.28104230908241</v>
      </c>
      <c r="Q22" s="23">
        <f>IF(AND(Q49&gt;1,P49&gt;1),IF(AND(Q49&gt;0,P49&gt;0),Q26*(Q50/100+1),0)+IF(Q49&gt;0,P22*(1+Q51/100),0)-P22*(1+'Input data'!Q30/100),IF(Q49=1,Q26,P22*(1+Q51/100)))</f>
        <v>929.87527586789849</v>
      </c>
      <c r="R22" s="23">
        <f>IF(AND(R49&gt;1,Q49&gt;1),IF(AND(R49&gt;0,Q49&gt;0),R26*(R50/100+1),0)+IF(R49&gt;0,Q22*(1+R51/100),0)-Q22*(1+'Input data'!R30/100),IF(R49=1,R26,Q22*(1+R51/100)))</f>
        <v>939.82547134859226</v>
      </c>
      <c r="S22" s="23">
        <f>IF(AND(S49&gt;1,R49&gt;1),IF(AND(S49&gt;0,R49&gt;0),S26*(S50/100+1),0)+IF(S49&gt;0,R22*(1+S51/100),0)-R22*(1+'Input data'!S30/100),IF(S49=1,S26,R22*(1+S51/100)))</f>
        <v>950.91378601244014</v>
      </c>
      <c r="T22" s="23">
        <f>IF(AND(T49&gt;1,S49&gt;1),IF(AND(T49&gt;0,S49&gt;0),T26*(T50/100+1),0)+IF(T49&gt;0,S22*(1+T51/100),0)-S22*(1+'Input data'!T30/100),IF(T49=1,T26,S22*(1+T51/100)))</f>
        <v>963.14035019885239</v>
      </c>
      <c r="U22" s="23">
        <f>IF(AND(U49&gt;1,T49&gt;1),IF(AND(U49&gt;0,T49&gt;0),U26*(U50/100+1),0)+IF(U49&gt;0,T22*(1+U51/100),0)-T22*(1+'Input data'!U30/100),IF(U49=1,U26,T22*(1+U51/100)))</f>
        <v>977.08328037271667</v>
      </c>
      <c r="V22" s="23">
        <f>IF(AND(V49&gt;1,U49&gt;1),IF(AND(V49&gt;0,U49&gt;0),V26*(V50/100+1),0)+IF(V49&gt;0,U22*(1+V51/100),0)-U22*(1+'Input data'!V30/100),IF(V49=1,V26,U22*(1+V51/100)))</f>
        <v>992.83797637293526</v>
      </c>
      <c r="W22" s="23">
        <f>IF(AND(W49&gt;1,V49&gt;1),IF(AND(W49&gt;0,V49&gt;0),W26*(W50/100+1),0)+IF(W49&gt;0,V22*(1+W51/100),0)-V22*(1+'Input data'!W30/100),IF(W49=1,W26,V22*(1+W51/100)))</f>
        <v>1009.363000004421</v>
      </c>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row>
    <row r="23" spans="1:50" x14ac:dyDescent="0.2">
      <c r="A23" s="46"/>
      <c r="B23" s="47" t="s">
        <v>38</v>
      </c>
      <c r="C23" s="23">
        <f>+'Input data'!C30</f>
        <v>6.1918569999999997</v>
      </c>
      <c r="D23" s="23">
        <f>+'Input data'!D30</f>
        <v>4.3289179999999998</v>
      </c>
      <c r="E23" s="78">
        <f>+'Input data'!E30</f>
        <v>9.7021999999999997E-2</v>
      </c>
      <c r="F23" s="78">
        <f>+'Input data'!F30</f>
        <v>0.76041639999999999</v>
      </c>
      <c r="G23" s="78">
        <f>+'Input data'!G30</f>
        <v>1.4546490000000001</v>
      </c>
      <c r="H23" s="23">
        <f>100*(H22/G22-1)</f>
        <v>1.8523499999999915</v>
      </c>
      <c r="I23" s="23">
        <f>100*(I22/H22-1)</f>
        <v>1.7025400000000079</v>
      </c>
      <c r="J23" s="23">
        <f t="shared" ref="J23:T23" si="2">100*(J22/I22-1)</f>
        <v>1.3549959999999972</v>
      </c>
      <c r="K23" s="23">
        <f t="shared" si="2"/>
        <v>1.0625850000000048</v>
      </c>
      <c r="L23" s="23">
        <f t="shared" si="2"/>
        <v>1.032674999999994</v>
      </c>
      <c r="M23" s="23">
        <f t="shared" si="2"/>
        <v>0.99759059999999788</v>
      </c>
      <c r="N23" s="23">
        <f t="shared" si="2"/>
        <v>0.97505749999999836</v>
      </c>
      <c r="O23" s="23">
        <f t="shared" si="2"/>
        <v>0.9874815999999953</v>
      </c>
      <c r="P23" s="23">
        <f t="shared" si="2"/>
        <v>1.0150080000000061</v>
      </c>
      <c r="Q23" s="23">
        <f t="shared" si="2"/>
        <v>1.0425329999999899</v>
      </c>
      <c r="R23" s="23">
        <f t="shared" si="2"/>
        <v>1.070057000000002</v>
      </c>
      <c r="S23" s="23">
        <f t="shared" si="2"/>
        <v>1.1798269999999889</v>
      </c>
      <c r="T23" s="23">
        <f t="shared" si="2"/>
        <v>1.2857700000000083</v>
      </c>
      <c r="U23" s="23">
        <f t="shared" ref="U23" si="3">100*(U22/T22-1)</f>
        <v>1.4476530000000043</v>
      </c>
      <c r="V23" s="23">
        <f t="shared" ref="V23" si="4">100*(V22/U22-1)</f>
        <v>1.6124210000000083</v>
      </c>
      <c r="W23" s="23">
        <f t="shared" ref="W23" si="5">100*(W22/V22-1)</f>
        <v>1.6644230000000038</v>
      </c>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row>
    <row r="24" spans="1:50" ht="5.25" customHeight="1" x14ac:dyDescent="0.2">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row>
    <row r="25" spans="1:50" ht="15" x14ac:dyDescent="0.2">
      <c r="A25" s="159"/>
      <c r="B25" s="19" t="s">
        <v>62</v>
      </c>
      <c r="C25" s="158"/>
      <c r="D25" s="158"/>
      <c r="E25" s="158"/>
      <c r="F25" s="158"/>
      <c r="H25" s="185"/>
      <c r="I25" s="185"/>
      <c r="J25" s="185"/>
      <c r="K25" s="185"/>
      <c r="L25" s="185"/>
      <c r="M25" s="185"/>
      <c r="N25" s="185"/>
      <c r="O25" s="185"/>
      <c r="P25" s="185"/>
      <c r="Q25" s="185"/>
      <c r="R25" s="185"/>
      <c r="S25" s="185"/>
      <c r="T25" s="185"/>
    </row>
    <row r="26" spans="1:50" x14ac:dyDescent="0.2">
      <c r="B26" s="15" t="s">
        <v>39</v>
      </c>
      <c r="C26" s="23">
        <f>'Input data'!C34</f>
        <v>775.59760000000006</v>
      </c>
      <c r="D26" s="23">
        <f>+C26*(1+'Input data'!D33/100)</f>
        <v>790.54666204180012</v>
      </c>
      <c r="E26" s="78">
        <f>+D26*(1+'Input data'!E33/100)</f>
        <v>807.34577070472176</v>
      </c>
      <c r="F26" s="78">
        <f>+E26*(1+'Input data'!F33/100)</f>
        <v>822.09655115099417</v>
      </c>
      <c r="G26" s="78">
        <f>+F26*(1+'Input data'!G33/100)</f>
        <v>835.78242814917689</v>
      </c>
      <c r="H26" s="23">
        <f>+G26*(1+'Input data'!H33/100)</f>
        <v>847.62915095655899</v>
      </c>
      <c r="I26" s="23">
        <f>+H26*(1+'Input data'!I33/100)</f>
        <v>857.18014299033098</v>
      </c>
      <c r="J26" s="23">
        <f>+I26*(1+'Input data'!J33/100)</f>
        <v>866.34269583118032</v>
      </c>
      <c r="K26" s="23">
        <f>+J26*(1+'Input data'!K33/100)</f>
        <v>875.54833202910504</v>
      </c>
      <c r="L26" s="23">
        <f>+K26*(1+'Input data'!L33/100)</f>
        <v>884.58988325591997</v>
      </c>
      <c r="M26" s="23">
        <f>+L26*(1+'Input data'!M33/100)</f>
        <v>893.41445108803441</v>
      </c>
      <c r="N26" s="23">
        <f>+M26*(1+'Input data'!N33/100)</f>
        <v>902.1257271101897</v>
      </c>
      <c r="O26" s="23">
        <f>+N26*(1+'Input data'!O33/100)</f>
        <v>911.03404365301174</v>
      </c>
      <c r="P26" s="23">
        <f>+O26*(1+'Input data'!P33/100)</f>
        <v>920.28109385813241</v>
      </c>
      <c r="Q26" s="23">
        <f>+P26*(1+'Input data'!Q33/100)</f>
        <v>929.87531875155344</v>
      </c>
      <c r="R26" s="23">
        <f>+Q26*(1+'Input data'!R33/100)</f>
        <v>939.82552398987991</v>
      </c>
      <c r="S26" s="23">
        <f>+R26*(1+'Input data'!S33/100)</f>
        <v>950.9138674695696</v>
      </c>
      <c r="T26" s="23">
        <f>+S26*(1+'Input data'!T33/100)</f>
        <v>963.14041368505571</v>
      </c>
      <c r="U26" s="23">
        <f>+T26*(1+'Input data'!U33/100)</f>
        <v>977.08334477797985</v>
      </c>
      <c r="V26" s="23">
        <f>+U26*(1+'Input data'!V33/100)</f>
        <v>992.83804181668245</v>
      </c>
      <c r="W26" s="23">
        <f>+V26*(1+'Input data'!W33/100)</f>
        <v>1009.3630566090486</v>
      </c>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row>
    <row r="27" spans="1:50" ht="5.25" customHeight="1" x14ac:dyDescent="0.2">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row>
    <row r="28" spans="1:50" x14ac:dyDescent="0.2">
      <c r="B28" s="19" t="s">
        <v>63</v>
      </c>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row>
    <row r="29" spans="1:50" x14ac:dyDescent="0.2">
      <c r="B29" s="15" t="s">
        <v>63</v>
      </c>
      <c r="C29" s="23">
        <f t="shared" ref="C29:T29" si="6">100*(C22/C26-1)</f>
        <v>-0.34079527837632684</v>
      </c>
      <c r="D29" s="23">
        <f t="shared" si="6"/>
        <v>2.0072566078019438</v>
      </c>
      <c r="E29" s="78">
        <f t="shared" si="6"/>
        <v>-1.8382288250529122E-2</v>
      </c>
      <c r="F29" s="78">
        <f t="shared" si="6"/>
        <v>-1.0657054745147998</v>
      </c>
      <c r="G29" s="78">
        <f t="shared" si="6"/>
        <v>-1.270166611768353</v>
      </c>
      <c r="H29" s="23">
        <f>100*(H22/H26-1)</f>
        <v>-0.84678289506581184</v>
      </c>
      <c r="I29" s="23">
        <f t="shared" si="6"/>
        <v>-0.28226814614619178</v>
      </c>
      <c r="J29" s="23">
        <f t="shared" si="6"/>
        <v>-1.471098735050802E-5</v>
      </c>
      <c r="K29" s="23">
        <f t="shared" si="6"/>
        <v>-1.5700473066093679E-5</v>
      </c>
      <c r="L29" s="23">
        <f t="shared" si="6"/>
        <v>-1.3720915748027807E-5</v>
      </c>
      <c r="M29" s="23">
        <f t="shared" si="6"/>
        <v>-1.1740670735616021E-5</v>
      </c>
      <c r="N29" s="23">
        <f t="shared" si="6"/>
        <v>-8.5715715525402913E-6</v>
      </c>
      <c r="O29" s="23">
        <f t="shared" si="6"/>
        <v>-7.5813498812138391E-6</v>
      </c>
      <c r="P29" s="23">
        <f t="shared" si="6"/>
        <v>-5.6014461624620537E-6</v>
      </c>
      <c r="Q29" s="23">
        <f t="shared" si="6"/>
        <v>-4.6117639707077274E-6</v>
      </c>
      <c r="R29" s="23">
        <f t="shared" si="6"/>
        <v>-5.6011766336183655E-6</v>
      </c>
      <c r="S29" s="23">
        <f t="shared" si="6"/>
        <v>-8.5661942983428219E-6</v>
      </c>
      <c r="T29" s="23">
        <f t="shared" si="6"/>
        <v>-6.5915833680207925E-6</v>
      </c>
      <c r="U29" s="23">
        <f t="shared" ref="U29:W29" si="7">100*(U22/U26-1)</f>
        <v>-6.5915833569185622E-6</v>
      </c>
      <c r="V29" s="23">
        <f t="shared" si="7"/>
        <v>-6.5915833680207925E-6</v>
      </c>
      <c r="W29" s="23">
        <f t="shared" si="7"/>
        <v>-5.6079551558063656E-6</v>
      </c>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row>
    <row r="30" spans="1:50" ht="5.25" customHeight="1" x14ac:dyDescent="0.2">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row>
    <row r="31" spans="1:50" x14ac:dyDescent="0.2">
      <c r="B31" s="19" t="s">
        <v>64</v>
      </c>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row>
    <row r="32" spans="1:50" x14ac:dyDescent="0.2">
      <c r="B32" s="15" t="s">
        <v>38</v>
      </c>
      <c r="C32" s="1">
        <f t="shared" ref="C32:W32" si="8">100*((1+C23/100)*(1+C41/100)-1)</f>
        <v>9.2974516629064077</v>
      </c>
      <c r="D32" s="1">
        <f t="shared" si="8"/>
        <v>10.103756264787123</v>
      </c>
      <c r="E32" s="2">
        <f t="shared" si="8"/>
        <v>7.8803492201822367</v>
      </c>
      <c r="F32" s="2">
        <f t="shared" si="8"/>
        <v>4.5152331650627264</v>
      </c>
      <c r="G32" s="2">
        <f>100*((1+G23/100)*(1+G41/100)-1)</f>
        <v>3.7394442191536426</v>
      </c>
      <c r="H32" s="1">
        <f>100*((1+H23/100)*(1+H41/100)-1)</f>
        <v>4.1840370058652487</v>
      </c>
      <c r="I32" s="1">
        <f t="shared" si="8"/>
        <v>4.0686770527858185</v>
      </c>
      <c r="J32" s="1">
        <f t="shared" si="8"/>
        <v>3.7507975228241008</v>
      </c>
      <c r="K32" s="1">
        <f t="shared" si="8"/>
        <v>3.4891158571153102</v>
      </c>
      <c r="L32" s="1">
        <f t="shared" si="8"/>
        <v>3.4961178375986224</v>
      </c>
      <c r="M32" s="1">
        <f t="shared" si="8"/>
        <v>3.4977950450861606</v>
      </c>
      <c r="N32" s="1">
        <f t="shared" si="8"/>
        <v>3.5123128012088278</v>
      </c>
      <c r="O32" s="1">
        <f t="shared" si="8"/>
        <v>3.562662380800008</v>
      </c>
      <c r="P32" s="1">
        <f t="shared" si="8"/>
        <v>3.5631115768000043</v>
      </c>
      <c r="Q32" s="1">
        <f t="shared" si="8"/>
        <v>3.5635441983499883</v>
      </c>
      <c r="R32" s="1">
        <f t="shared" si="8"/>
        <v>3.5639606564749959</v>
      </c>
      <c r="S32" s="1">
        <f t="shared" si="8"/>
        <v>3.6486147787999856</v>
      </c>
      <c r="T32" s="1">
        <f t="shared" si="8"/>
        <v>3.7292892012499967</v>
      </c>
      <c r="U32" s="1">
        <f t="shared" si="8"/>
        <v>3.8671795240500018</v>
      </c>
      <c r="V32" s="1">
        <f t="shared" si="8"/>
        <v>4.0079338250750052</v>
      </c>
      <c r="W32" s="1">
        <f t="shared" si="8"/>
        <v>4.0332040559000193</v>
      </c>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row>
    <row r="34" spans="2:51" x14ac:dyDescent="0.2">
      <c r="B34" s="17" t="s">
        <v>65</v>
      </c>
    </row>
    <row r="35" spans="2:51" x14ac:dyDescent="0.2">
      <c r="B35" s="15" t="s">
        <v>41</v>
      </c>
      <c r="C35" s="1">
        <f>'Input data'!C37</f>
        <v>1.082266</v>
      </c>
      <c r="D35" s="1">
        <f>'Input data'!D37</f>
        <v>1.1515390000000001</v>
      </c>
      <c r="E35" s="2">
        <f>'Input data'!E37</f>
        <v>1.3576170000000001</v>
      </c>
      <c r="F35" s="2">
        <f>'Input data'!F37</f>
        <v>1.5744320000000001</v>
      </c>
      <c r="G35" s="2">
        <f>'Input data'!G37</f>
        <v>1.603952</v>
      </c>
      <c r="H35" s="1">
        <f>H96</f>
        <v>1.7849194892872491</v>
      </c>
      <c r="I35" s="1">
        <f t="shared" ref="I35:W35" si="9">I96</f>
        <v>1.9156487348916007</v>
      </c>
      <c r="J35" s="1">
        <f t="shared" si="9"/>
        <v>2.0300738672458607</v>
      </c>
      <c r="K35" s="1">
        <f t="shared" si="9"/>
        <v>2.1307476200015003</v>
      </c>
      <c r="L35" s="1">
        <f t="shared" si="9"/>
        <v>2.2222567093504333</v>
      </c>
      <c r="M35" s="1">
        <f t="shared" si="9"/>
        <v>2.3051082573203399</v>
      </c>
      <c r="N35" s="1">
        <f t="shared" si="9"/>
        <v>2.3798479521800173</v>
      </c>
      <c r="O35" s="1">
        <f t="shared" si="9"/>
        <v>2.4468068604534059</v>
      </c>
      <c r="P35" s="1">
        <f t="shared" si="9"/>
        <v>2.510971414770506</v>
      </c>
      <c r="Q35" s="1">
        <f t="shared" si="9"/>
        <v>2.5739125106809659</v>
      </c>
      <c r="R35" s="1">
        <f t="shared" si="9"/>
        <v>2.6355082389603095</v>
      </c>
      <c r="S35" s="1">
        <f t="shared" si="9"/>
        <v>2.6960046850367574</v>
      </c>
      <c r="T35" s="1">
        <f>T96</f>
        <v>2.7555154180793853</v>
      </c>
      <c r="U35" s="1">
        <f t="shared" si="9"/>
        <v>2.8139353686364283</v>
      </c>
      <c r="V35" s="1">
        <f t="shared" si="9"/>
        <v>2.8713987511783925</v>
      </c>
      <c r="W35" s="1">
        <f t="shared" si="9"/>
        <v>2.9279547564943371</v>
      </c>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5"/>
    </row>
    <row r="36" spans="2:51" x14ac:dyDescent="0.2">
      <c r="B36" s="21" t="s">
        <v>66</v>
      </c>
      <c r="C36" s="1"/>
      <c r="D36" s="1"/>
      <c r="E36" s="2">
        <f>'Input data'!E39</f>
        <v>2.79</v>
      </c>
      <c r="F36" s="138">
        <f>'Input data'!F39</f>
        <v>2.7206269999999999</v>
      </c>
      <c r="G36" s="138">
        <f>'Input data'!G39</f>
        <v>2.7825880000000001</v>
      </c>
      <c r="H36" s="1">
        <f>G36+($O$36-$G$36)/($O$10-$G$10)</f>
        <v>2.7910632500000001</v>
      </c>
      <c r="I36" s="1">
        <f t="shared" ref="I36:M36" si="10">H36+($O$36-$G$36)/($O$10-$G$10)</f>
        <v>2.7995385000000002</v>
      </c>
      <c r="J36" s="1">
        <f t="shared" si="10"/>
        <v>2.8080137500000002</v>
      </c>
      <c r="K36" s="1">
        <f t="shared" si="10"/>
        <v>2.8164890000000002</v>
      </c>
      <c r="L36" s="1">
        <f t="shared" si="10"/>
        <v>2.8249642500000003</v>
      </c>
      <c r="M36" s="1">
        <f t="shared" si="10"/>
        <v>2.8334395000000003</v>
      </c>
      <c r="N36" s="1">
        <f>M36+($O$36-$G$36)/($O$10-$G$10)</f>
        <v>2.8419147500000004</v>
      </c>
      <c r="O36" s="179">
        <f>'Input data'!$C$52</f>
        <v>2.85039</v>
      </c>
      <c r="P36" s="1">
        <f>$O$36+('Input data'!$C$54-'Input data'!$C$52)/20*('Baseline NFPC'!P$10-2033)</f>
        <v>2.9078705</v>
      </c>
      <c r="Q36" s="1">
        <f>$O$36+('Input data'!$C$54-'Input data'!$C$52)/20*('Baseline NFPC'!Q$10-2033)</f>
        <v>2.9653510000000001</v>
      </c>
      <c r="R36" s="1">
        <f>$O$36+('Input data'!$C$54-'Input data'!$C$52)/20*('Baseline NFPC'!R$10-2033)</f>
        <v>3.0228315000000001</v>
      </c>
      <c r="S36" s="1">
        <f>$O$36+('Input data'!$C$54-'Input data'!$C$52)/20*('Baseline NFPC'!S$10-2033)</f>
        <v>3.0803120000000002</v>
      </c>
      <c r="T36" s="1">
        <f>$O$36+('Input data'!$C$54-'Input data'!$C$52)/20*('Baseline NFPC'!T$10-2033)</f>
        <v>3.1377924999999998</v>
      </c>
      <c r="U36" s="1">
        <f>$O$36+('Input data'!$C$54-'Input data'!$C$52)/20*('Baseline NFPC'!U$10-2033)</f>
        <v>3.1952730000000003</v>
      </c>
      <c r="V36" s="1">
        <f>$O$36+('Input data'!$C$54-'Input data'!$C$52)/20*('Baseline NFPC'!V$10-2033)</f>
        <v>3.2527534999999999</v>
      </c>
      <c r="W36" s="1">
        <f>$O$36+('Input data'!$C$54-'Input data'!$C$52)/20*('Baseline NFPC'!W$10-2033)</f>
        <v>3.3102339999999999</v>
      </c>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5"/>
    </row>
    <row r="37" spans="2:51" x14ac:dyDescent="0.2">
      <c r="B37" s="21" t="s">
        <v>67</v>
      </c>
      <c r="C37" s="1"/>
      <c r="D37" s="1"/>
      <c r="E37" s="2">
        <f>'Input data'!E$38</f>
        <v>3.43</v>
      </c>
      <c r="F37" s="138">
        <f>'Input data'!F$38</f>
        <v>3.5642079999999998</v>
      </c>
      <c r="G37" s="138">
        <f>'Input data'!G$38</f>
        <v>2.8163749999999999</v>
      </c>
      <c r="H37" s="1">
        <f>G37+($O$37-$G$37)/($O$10-$G$10)</f>
        <v>2.8050893749999997</v>
      </c>
      <c r="I37" s="1">
        <f t="shared" ref="I37:N37" si="11">H37+($O$37-$G$37)/($O$10-$G$10)</f>
        <v>2.7938037499999995</v>
      </c>
      <c r="J37" s="1">
        <f t="shared" si="11"/>
        <v>2.7825181249999993</v>
      </c>
      <c r="K37" s="1">
        <f t="shared" si="11"/>
        <v>2.7712324999999991</v>
      </c>
      <c r="L37" s="1">
        <f t="shared" si="11"/>
        <v>2.7599468749999989</v>
      </c>
      <c r="M37" s="1">
        <f t="shared" si="11"/>
        <v>2.7486612499999987</v>
      </c>
      <c r="N37" s="1">
        <f t="shared" si="11"/>
        <v>2.7373756249999985</v>
      </c>
      <c r="O37" s="179">
        <f>'Input data'!$C$53</f>
        <v>2.7260900000000001</v>
      </c>
      <c r="P37" s="1">
        <f>$O$37+('Input data'!$C$55-'Input data'!$C$53)/20*('Baseline NFPC'!P$10-2033)</f>
        <v>2.6897855000000002</v>
      </c>
      <c r="Q37" s="1">
        <f>$O$37+('Input data'!$C$55-'Input data'!$C$53)/20*('Baseline NFPC'!Q$10-2033)</f>
        <v>2.6534810000000002</v>
      </c>
      <c r="R37" s="1">
        <f>$O$37+('Input data'!$C$55-'Input data'!$C$53)/20*('Baseline NFPC'!R$10-2033)</f>
        <v>2.6171765000000002</v>
      </c>
      <c r="S37" s="1">
        <f>$O$37+('Input data'!$C$55-'Input data'!$C$53)/20*('Baseline NFPC'!S$10-2033)</f>
        <v>2.5808720000000003</v>
      </c>
      <c r="T37" s="1">
        <f>$O$37+('Input data'!$C$55-'Input data'!$C$53)/20*('Baseline NFPC'!T$10-2033)</f>
        <v>2.5445675000000003</v>
      </c>
      <c r="U37" s="1">
        <f>$O$37+('Input data'!$C$55-'Input data'!$C$53)/20*('Baseline NFPC'!U$10-2033)</f>
        <v>2.5082629999999999</v>
      </c>
      <c r="V37" s="1">
        <f>$O$37+('Input data'!$C$55-'Input data'!$C$53)/20*('Baseline NFPC'!V$10-2033)</f>
        <v>2.4719584999999999</v>
      </c>
      <c r="W37" s="1">
        <f>$O$37+('Input data'!$C$55-'Input data'!$C$53)/20*('Baseline NFPC'!W$10-2033)</f>
        <v>2.435654</v>
      </c>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5"/>
    </row>
    <row r="38" spans="2:51" x14ac:dyDescent="0.2">
      <c r="B38" s="15" t="s">
        <v>68</v>
      </c>
      <c r="C38" s="1">
        <v>0.10247115</v>
      </c>
      <c r="D38" s="1">
        <v>8.9394059999999997E-2</v>
      </c>
      <c r="E38" s="1">
        <v>8.9314669999999999E-2</v>
      </c>
      <c r="F38" s="1">
        <v>8.8780289999999998E-2</v>
      </c>
      <c r="G38" s="1">
        <f>IF(OR($C$3="EL",$C$3="CY",$C$3="IE",$C$3="PT"),VLOOKUP($C$3,$B$110:$T$114,MATCH(G$10,$B$110:$T$110,0),0),$F$38+('Input data'!$C$59-$F$38)/($O$10-$F$10)*(G10-$F$10))</f>
        <v>8.9522768888888882E-2</v>
      </c>
      <c r="H38" s="1">
        <f>IF(OR($C$3="EL",$C$3="CY",$C$3="IE",$C$3="PT"),VLOOKUP($C$3,$B$110:$T$114,MATCH(H$10,$B$110:$T$110,0),0),$F$38+('Input data'!$C$59-$F$38)/($O$10-$F$10)*(H10-$F$10))</f>
        <v>9.026524777777778E-2</v>
      </c>
      <c r="I38" s="1">
        <f>IF(OR($C$3="EL",$C$3="CY",$C$3="IE",$C$3="PT"),VLOOKUP($C$3,$B$110:$T$114,MATCH(I$10,$B$110:$T$110,0),0),$F$38+('Input data'!$C$59-$F$38)/($O$10-$F$10)*(I10-$F$10))</f>
        <v>9.1007726666666663E-2</v>
      </c>
      <c r="J38" s="1">
        <f>IF(OR($C$3="EL",$C$3="CY",$C$3="IE",$C$3="PT"),VLOOKUP($C$3,$B$110:$T$114,MATCH(J$10,$B$110:$T$110,0),0),$F$38+('Input data'!$C$59-$F$38)/($O$10-$F$10)*(J10-$F$10))</f>
        <v>9.1750205555555547E-2</v>
      </c>
      <c r="K38" s="1">
        <f>IF(OR($C$3="EL",$C$3="CY",$C$3="IE",$C$3="PT"),VLOOKUP($C$3,$B$110:$T$114,MATCH(K$10,$B$110:$T$110,0),0),$F$38+('Input data'!$C$59-$F$38)/($O$10-$F$10)*(K10-$F$10))</f>
        <v>9.2492684444444445E-2</v>
      </c>
      <c r="L38" s="1">
        <f>IF(OR($C$3="EL",$C$3="CY",$C$3="IE",$C$3="PT"),VLOOKUP($C$3,$B$110:$T$114,MATCH(L$10,$B$110:$T$110,0),0),$F$38+('Input data'!$C$59-$F$38)/($O$10-$F$10)*(L10-$F$10))</f>
        <v>9.3235163333333329E-2</v>
      </c>
      <c r="M38" s="1">
        <f>IF(OR($C$3="EL",$C$3="CY",$C$3="IE",$C$3="PT"),VLOOKUP($C$3,$B$110:$T$114,MATCH(M$10,$B$110:$T$110,0),0),$F$38+('Input data'!$C$59-$F$38)/($O$10-$F$10)*(M10-$F$10))</f>
        <v>9.3977642222222213E-2</v>
      </c>
      <c r="N38" s="1">
        <f>IF(OR($C$3="EL",$C$3="CY",$C$3="IE",$C$3="PT"),VLOOKUP($C$3,$B$110:$T$114,MATCH(N$10,$B$110:$T$110,0),0),$F$38+('Input data'!$C$59-$F$38)/($O$10-$F$10)*(N10-$F$10))</f>
        <v>9.4720121111111111E-2</v>
      </c>
      <c r="O38" s="179">
        <f>IF(OR($C$3="EL",$C$3="CY",$C$3="IE",$C$3="PT"),VLOOKUP($C$3,$B$110:$T$114,MATCH(O$10,$B$110:$T$110,0),0),'Input data'!$C$59)</f>
        <v>9.5462599999999995E-2</v>
      </c>
      <c r="P38" s="1">
        <f>IF(OR($C$3="EL",$C$3="CY",$C$3="IE",$C$3="PT"),VLOOKUP($C$3,$B$110:$T$114,MATCH(P$10,$B$110:$T$110,0),0),'Input data'!$C$59)</f>
        <v>9.5462599999999995E-2</v>
      </c>
      <c r="Q38" s="1">
        <f>IF(OR($C$3="EL",$C$3="CY",$C$3="IE",$C$3="PT"),VLOOKUP($C$3,$B$110:$T$114,MATCH(Q$10,$B$110:$T$110,0),0),'Input data'!$C$59)</f>
        <v>9.5462599999999995E-2</v>
      </c>
      <c r="R38" s="1">
        <f>IF(OR($C$3="EL",$C$3="CY",$C$3="IE",$C$3="PT"),VLOOKUP($C$3,$B$110:$T$114,MATCH(R$10,$B$110:$T$110,0),0),'Input data'!$C$59)</f>
        <v>9.5462599999999995E-2</v>
      </c>
      <c r="S38" s="1">
        <f>IF(OR($C$3="EL",$C$3="CY",$C$3="IE",$C$3="PT"),VLOOKUP($C$3,$B$110:$T$114,MATCH(S$10,$B$110:$T$110,0),0),'Input data'!$C$59)</f>
        <v>9.5462599999999995E-2</v>
      </c>
      <c r="T38" s="1">
        <f>IF(OR($C$3="EL",$C$3="CY",$C$3="IE",$C$3="PT"),VLOOKUP($C$3,$B$110:$T$114,MATCH(T$10,$B$110:$T$110,0),0),'Input data'!$C$59)</f>
        <v>9.5462599999999995E-2</v>
      </c>
      <c r="U38" s="1">
        <f>IF(OR($C$3="EL",$C$3="CY",$C$3="IE",$C$3="PT"),VLOOKUP($C$3,$B$110:$W$114,MATCH(U$10,$B$110:$W$110,0),0),'Input data'!$C$59)</f>
        <v>9.5462599999999995E-2</v>
      </c>
      <c r="V38" s="1">
        <f>IF(OR($C$3="EL",$C$3="CY",$C$3="IE",$C$3="PT"),VLOOKUP($C$3,$B$110:$W$114,MATCH(V$10,$B$110:$W$110,0),0),'Input data'!$C$59)</f>
        <v>9.5462599999999995E-2</v>
      </c>
      <c r="W38" s="1">
        <f>IF(OR($C$3="EL",$C$3="CY",$C$3="IE",$C$3="PT"),VLOOKUP($C$3,$B$110:$W$114,MATCH(W$10,$B$110:$W$110,0),0),'Input data'!$C$59)</f>
        <v>9.5462599999999995E-2</v>
      </c>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5"/>
    </row>
    <row r="39" spans="2:51" x14ac:dyDescent="0.2">
      <c r="C39" s="1"/>
      <c r="D39" s="1"/>
      <c r="E39" s="1"/>
      <c r="F39" s="1"/>
      <c r="G39" s="1"/>
      <c r="H39" s="1"/>
      <c r="I39" s="1"/>
      <c r="J39" s="1"/>
      <c r="K39" s="1"/>
      <c r="L39" s="1"/>
      <c r="M39" s="1"/>
      <c r="N39" s="1"/>
      <c r="O39" s="1"/>
      <c r="P39" s="1"/>
      <c r="Q39" s="1"/>
      <c r="R39" s="1"/>
      <c r="S39" s="1"/>
      <c r="T39" s="1"/>
      <c r="U39" s="1"/>
      <c r="V39" s="1"/>
      <c r="W39" s="1"/>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5"/>
    </row>
    <row r="40" spans="2:51" x14ac:dyDescent="0.2">
      <c r="B40" s="17" t="s">
        <v>69</v>
      </c>
      <c r="C40" s="1"/>
      <c r="D40" s="1"/>
      <c r="E40" s="1"/>
      <c r="F40" s="1"/>
      <c r="G40" s="81"/>
      <c r="H40" s="81"/>
      <c r="I40" s="81"/>
      <c r="J40" s="81"/>
      <c r="K40" s="81"/>
      <c r="L40" s="81"/>
      <c r="M40" s="81"/>
      <c r="N40" s="1"/>
      <c r="O40" s="81"/>
      <c r="P40" s="81"/>
      <c r="Q40" s="81"/>
      <c r="R40" s="1"/>
      <c r="S40" s="1"/>
      <c r="T40" s="1"/>
      <c r="U40" s="1"/>
      <c r="V40" s="1"/>
      <c r="W40" s="1"/>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5"/>
    </row>
    <row r="41" spans="2:51" x14ac:dyDescent="0.2">
      <c r="B41" s="15" t="s">
        <v>44</v>
      </c>
      <c r="C41" s="1">
        <f>'Input data'!C42</f>
        <v>2.9245130000000001</v>
      </c>
      <c r="D41" s="1">
        <f>'Input data'!D42</f>
        <v>5.5352230000000002</v>
      </c>
      <c r="E41" s="2">
        <f>'Input data'!E42</f>
        <v>7.7757829999999997</v>
      </c>
      <c r="F41" s="2">
        <f>'Input data'!F42</f>
        <v>3.72648</v>
      </c>
      <c r="G41" s="2">
        <f>'Input data'!G42</f>
        <v>2.2520359999999999</v>
      </c>
      <c r="H41" s="1">
        <f>$G$41+($O$41-$G$41)/($O$10-$G$10)*(H10-$G$10)</f>
        <v>2.2892815</v>
      </c>
      <c r="I41" s="1">
        <f>$G$41+($O$41-$G$41)/($O$10-$G$10)*(I10-$G$10)</f>
        <v>2.326527</v>
      </c>
      <c r="J41" s="1">
        <f t="shared" ref="J41:M41" si="12">$G$41+($O$41-$G$41)/($O$10-$G$10)*(J10-$G$10)</f>
        <v>2.3637725000000001</v>
      </c>
      <c r="K41" s="1">
        <f t="shared" si="12"/>
        <v>2.4010179999999997</v>
      </c>
      <c r="L41" s="1">
        <f t="shared" si="12"/>
        <v>2.4382634999999997</v>
      </c>
      <c r="M41" s="1">
        <f t="shared" si="12"/>
        <v>2.4755089999999997</v>
      </c>
      <c r="N41" s="1">
        <f>$G$41+($O$41-$G$41)/($O$10-$G$10)*(N10-$G$10)</f>
        <v>2.5127544999999998</v>
      </c>
      <c r="O41" s="179">
        <f>'Input data'!$C$61</f>
        <v>2.5499999999999998</v>
      </c>
      <c r="P41" s="1">
        <f>$O$41+('Input data'!$C$62-'Input data'!$C$61)/20*(P$10-2033)</f>
        <v>2.5225</v>
      </c>
      <c r="Q41" s="1">
        <f>$O$41+('Input data'!$C$62-'Input data'!$C$61)/20*(Q$10-2033)</f>
        <v>2.4949999999999997</v>
      </c>
      <c r="R41" s="1">
        <f>$O$41+('Input data'!$C$62-'Input data'!$C$61)/20*(R$10-2033)</f>
        <v>2.4674999999999998</v>
      </c>
      <c r="S41" s="1">
        <f>$O$41+('Input data'!$C$62-'Input data'!$C$61)/20*(S$10-2033)</f>
        <v>2.44</v>
      </c>
      <c r="T41" s="1">
        <f>$O$41+('Input data'!$C$62-'Input data'!$C$61)/20*(T$10-2033)</f>
        <v>2.4124999999999996</v>
      </c>
      <c r="U41" s="1">
        <f>$O$41+('Input data'!$C$62-'Input data'!$C$61)/20*(U$10-2033)</f>
        <v>2.3849999999999998</v>
      </c>
      <c r="V41" s="1">
        <f>$O$41+('Input data'!$C$62-'Input data'!$C$61)/20*(V$10-2033)</f>
        <v>2.3574999999999999</v>
      </c>
      <c r="W41" s="1">
        <f>$O$41+('Input data'!$C$62-'Input data'!$C$61)/20*(W$10-2033)</f>
        <v>2.33</v>
      </c>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5"/>
    </row>
    <row r="42" spans="2:51" x14ac:dyDescent="0.2">
      <c r="B42" s="15" t="s">
        <v>70</v>
      </c>
      <c r="C42" s="1">
        <v>1</v>
      </c>
      <c r="D42" s="1">
        <v>1</v>
      </c>
      <c r="E42" s="1">
        <v>1</v>
      </c>
      <c r="F42" s="1">
        <v>1</v>
      </c>
      <c r="G42" s="1">
        <v>0.99999990000000005</v>
      </c>
      <c r="H42" s="1">
        <v>1</v>
      </c>
      <c r="I42" s="1">
        <v>1</v>
      </c>
      <c r="J42" s="1">
        <v>1</v>
      </c>
      <c r="K42" s="1">
        <v>1</v>
      </c>
      <c r="L42" s="1">
        <v>1</v>
      </c>
      <c r="M42" s="1">
        <v>1</v>
      </c>
      <c r="N42" s="1">
        <v>1</v>
      </c>
      <c r="O42" s="1">
        <v>1</v>
      </c>
      <c r="P42" s="1">
        <v>1</v>
      </c>
      <c r="Q42" s="1">
        <v>1</v>
      </c>
      <c r="R42" s="1">
        <v>1</v>
      </c>
      <c r="S42" s="1">
        <v>1</v>
      </c>
      <c r="T42" s="1">
        <v>1</v>
      </c>
      <c r="U42" s="1">
        <v>1</v>
      </c>
      <c r="V42" s="1">
        <v>1</v>
      </c>
      <c r="W42" s="1">
        <v>1</v>
      </c>
      <c r="X42" s="1"/>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5"/>
    </row>
    <row r="43" spans="2:51" x14ac:dyDescent="0.2">
      <c r="C43" s="25"/>
    </row>
    <row r="44" spans="2:51" s="56" customFormat="1" ht="12.75" x14ac:dyDescent="0.2">
      <c r="B44" s="60" t="s">
        <v>71</v>
      </c>
      <c r="C44" s="61"/>
    </row>
    <row r="45" spans="2:51" x14ac:dyDescent="0.2">
      <c r="C45" s="25"/>
    </row>
    <row r="46" spans="2:51" x14ac:dyDescent="0.2">
      <c r="B46" s="39" t="s">
        <v>46</v>
      </c>
      <c r="C46" s="40">
        <f>'Input data'!C49</f>
        <v>0.75</v>
      </c>
    </row>
    <row r="47" spans="2:51" x14ac:dyDescent="0.2">
      <c r="B47" s="41" t="s">
        <v>193</v>
      </c>
      <c r="C47" s="42">
        <f>'Input data'!C50</f>
        <v>0.60499999999999998</v>
      </c>
    </row>
    <row r="48" spans="2:51" x14ac:dyDescent="0.2">
      <c r="C48" s="43"/>
    </row>
    <row r="49" spans="2:48" outlineLevel="1" x14ac:dyDescent="0.2">
      <c r="B49" s="15" t="s">
        <v>72</v>
      </c>
      <c r="C49" s="23"/>
      <c r="D49" s="23">
        <f>IF(AND(ABS((D12-C12)-('Input data'!D13-'Input data'!C13))&gt;0.0001,ABS(D12-C12)&gt;0.0001,D$10&gt;$C$5),4,IF(C49=4,3,IF(C49=3,2,IF(C49=2,1,0))))</f>
        <v>0</v>
      </c>
      <c r="E49" s="23">
        <f>IF(AND(ABS((E12-D12)-('Input data'!E13-'Input data'!D13))&gt;0.0001,ABS(E12-D12)&gt;0.0001,E$10&gt;$C$5),4,IF(D49=4,3,IF(D49=3,2,IF(D49=2,1,0))))</f>
        <v>0</v>
      </c>
      <c r="F49" s="23">
        <f>IF(AND(ABS((F12-E12)-('Input data'!F13-'Input data'!E13))&gt;0.0001,ABS(F12-E12)&gt;0.0001,F$10&gt;$C$5),4,IF(E49=4,3,IF(E49=3,2,IF(E49=2,1,0))))</f>
        <v>0</v>
      </c>
      <c r="G49" s="23">
        <f>IF(AND(ABS((G12-F12)-('Input data'!G13-'Input data'!F13))&gt;0.0001,ABS(G12-F12)&gt;0.0001,G$10&gt;$C$5),4,IF(F49=4,3,IF(F49=3,2,IF(F49=2,1,0))))</f>
        <v>0</v>
      </c>
      <c r="H49" s="23">
        <f>IF(AND(ABS((H12-G12)-('Input data'!H13-'Input data'!G13))&gt;0.0001,ABS(H12-G12)&gt;0.0001,H$10&gt;$C$5),4,IF(G49=4,3,IF(G49=3,2,IF(G49=2,1,0))))</f>
        <v>0</v>
      </c>
      <c r="I49" s="23">
        <f>IF(AND(ABS((I12-H12)-('Input data'!I13-'Input data'!H13))&gt;0.0001,ABS(I12-H12)&gt;0.0001,I$10&gt;$C$5),4,IF(H49=4,3,IF(H49=3,2,IF(H49=2,1,0))))</f>
        <v>0</v>
      </c>
      <c r="J49" s="23">
        <f>IF(AND(ABS((J12-I12)-('Input data'!J13-'Input data'!I13))&gt;0.0001,ABS(J12-I12)&gt;0.0001,J$10&gt;$C$5),4,IF(I49=4,3,IF(I49=3,2,IF(I49=2,1,0))))</f>
        <v>0</v>
      </c>
      <c r="K49" s="23">
        <f>IF(AND(ABS((K12-J12)-('Input data'!K13-'Input data'!J13))&gt;0.0001,ABS(K12-J12)&gt;0.0001,K$10&gt;$C$5),4,IF(J49=4,3,IF(J49=3,2,IF(J49=2,1,0))))</f>
        <v>0</v>
      </c>
      <c r="L49" s="23">
        <f>IF(AND(ABS((L12-K12)-('Input data'!L13-'Input data'!K13))&gt;0.0001,ABS(L12-K12)&gt;0.0001,L$10&gt;$C$5),4,IF(K49=4,3,IF(K49=3,2,IF(K49=2,1,0))))</f>
        <v>0</v>
      </c>
      <c r="M49" s="23">
        <f>IF(AND(ABS((M12-L12)-('Input data'!M13-'Input data'!L13))&gt;0.0001,ABS(M12-L12)&gt;0.0001,M$10&gt;$C$5),4,IF(L49=4,3,IF(L49=3,2,IF(L49=2,1,0))))</f>
        <v>0</v>
      </c>
      <c r="N49" s="23">
        <f>IF(AND(ABS((N12-M12)-('Input data'!N13-'Input data'!M13))&gt;0.0001,ABS(N12-M12)&gt;0.0001,N$10&gt;$C$5),4,IF(M49=4,3,IF(M49=3,2,IF(M49=2,1,0))))</f>
        <v>0</v>
      </c>
      <c r="O49" s="23">
        <f>IF(AND(ABS((O12-N12)-('Input data'!O13-'Input data'!N13))&gt;0.0001,ABS(O12-N12)&gt;0.0001,O$10&gt;$C$5),4,IF(N49=4,3,IF(N49=3,2,IF(N49=2,1,0))))</f>
        <v>0</v>
      </c>
      <c r="P49" s="23">
        <f>IF(AND(ABS((P12-O12)-('Input data'!P13-'Input data'!O13))&gt;0.0001,ABS(P12-O12)&gt;0.0001,P$10&gt;$C$5),4,IF(O49=4,3,IF(O49=3,2,IF(O49=2,1,0))))</f>
        <v>0</v>
      </c>
      <c r="Q49" s="23">
        <f>IF(AND(ABS((Q12-P12)-('Input data'!Q13-'Input data'!P13))&gt;0.0001,ABS(Q12-P12)&gt;0.0001,Q$10&gt;$C$5),4,IF(P49=4,3,IF(P49=3,2,IF(P49=2,1,0))))</f>
        <v>0</v>
      </c>
      <c r="R49" s="23">
        <f>IF(AND(ABS((R12-Q12)-('Input data'!R13-'Input data'!Q13))&gt;0.0001,ABS(R12-Q12)&gt;0.0001,R$10&gt;$C$5),4,IF(Q49=4,3,IF(Q49=3,2,IF(Q49=2,1,0))))</f>
        <v>0</v>
      </c>
      <c r="S49" s="23">
        <f>IF(AND(ABS((S12-R12)-('Input data'!S13-'Input data'!R13))&gt;0.0001,ABS(S12-R12)&gt;0.0001,S$10&gt;$C$5),4,IF(R49=4,3,IF(R49=3,2,IF(R49=2,1,0))))</f>
        <v>0</v>
      </c>
      <c r="T49" s="23">
        <f>IF(AND(ABS((T12-S12)-('Input data'!T13-'Input data'!S13))&gt;0.0001,ABS(T12-S12)&gt;0.0001,T$10&gt;$C$5),4,IF(S49=4,3,IF(S49=3,2,IF(S49=2,1,0))))</f>
        <v>0</v>
      </c>
      <c r="U49" s="23">
        <f>IF(AND(ABS((U12-T12)-('Input data'!U13-'Input data'!T13))&gt;0.0001,ABS(U12-T12)&gt;0.0001,U$10&gt;$C$5),4,IF(T49=4,3,IF(T49=3,2,IF(T49=2,1,0))))</f>
        <v>0</v>
      </c>
      <c r="V49" s="23">
        <f>IF(AND(ABS((V12-U12)-('Input data'!V13-'Input data'!U13))&gt;0.0001,ABS(V12-U12)&gt;0.0001,V$10&gt;$C$5),4,IF(U49=4,3,IF(U49=3,2,IF(U49=2,1,0))))</f>
        <v>0</v>
      </c>
      <c r="W49" s="23">
        <f>IF(AND(ABS((W12-V12)-('Input data'!W13-'Input data'!V13))&gt;0.0001,ABS(W12-V12)&gt;0.0001,W$10&gt;$C$5),4,IF(V49=4,3,IF(V49=3,2,IF(V49=2,1,0))))</f>
        <v>0</v>
      </c>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row>
    <row r="50" spans="2:48" outlineLevel="1" x14ac:dyDescent="0.2">
      <c r="B50" s="15" t="s">
        <v>73</v>
      </c>
      <c r="C50" s="23"/>
      <c r="D50" s="23">
        <f t="shared" ref="D50:W50" si="13">IF(C49=4,2/3*C29,IF(C49=3,1/3*B29,0))</f>
        <v>0</v>
      </c>
      <c r="E50" s="23">
        <f t="shared" si="13"/>
        <v>0</v>
      </c>
      <c r="F50" s="23">
        <f t="shared" si="13"/>
        <v>0</v>
      </c>
      <c r="G50" s="23">
        <f t="shared" si="13"/>
        <v>0</v>
      </c>
      <c r="H50" s="23">
        <f t="shared" si="13"/>
        <v>0</v>
      </c>
      <c r="I50" s="23">
        <f t="shared" si="13"/>
        <v>0</v>
      </c>
      <c r="J50" s="23">
        <f t="shared" si="13"/>
        <v>0</v>
      </c>
      <c r="K50" s="23">
        <f t="shared" si="13"/>
        <v>0</v>
      </c>
      <c r="L50" s="23">
        <f t="shared" si="13"/>
        <v>0</v>
      </c>
      <c r="M50" s="23">
        <f t="shared" si="13"/>
        <v>0</v>
      </c>
      <c r="N50" s="23">
        <f t="shared" si="13"/>
        <v>0</v>
      </c>
      <c r="O50" s="23">
        <f t="shared" si="13"/>
        <v>0</v>
      </c>
      <c r="P50" s="23">
        <f t="shared" si="13"/>
        <v>0</v>
      </c>
      <c r="Q50" s="23">
        <f t="shared" si="13"/>
        <v>0</v>
      </c>
      <c r="R50" s="23">
        <f t="shared" si="13"/>
        <v>0</v>
      </c>
      <c r="S50" s="23">
        <f t="shared" si="13"/>
        <v>0</v>
      </c>
      <c r="T50" s="23">
        <f t="shared" si="13"/>
        <v>0</v>
      </c>
      <c r="U50" s="23">
        <f t="shared" si="13"/>
        <v>0</v>
      </c>
      <c r="V50" s="23">
        <f t="shared" si="13"/>
        <v>0</v>
      </c>
      <c r="W50" s="23">
        <f t="shared" si="13"/>
        <v>0</v>
      </c>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row>
    <row r="51" spans="2:48" outlineLevel="1" x14ac:dyDescent="0.2">
      <c r="B51" s="15" t="s">
        <v>74</v>
      </c>
      <c r="C51" s="23"/>
      <c r="D51" s="23">
        <f>'Input data'!D30-$C$46*((D12-C12)-('Input data'!D13-'Input data'!C13))</f>
        <v>4.3289179999999998</v>
      </c>
      <c r="E51" s="23">
        <f>'Input data'!E30-$C$46*((E12-D12)-('Input data'!E13-'Input data'!D13))</f>
        <v>9.7021999999999997E-2</v>
      </c>
      <c r="F51" s="23">
        <f>'Input data'!F30-$C$46*((F12-E12)-('Input data'!F13-'Input data'!E13))</f>
        <v>0.76041639999999999</v>
      </c>
      <c r="G51" s="23">
        <f>'Input data'!G30-$C$46*((G12-F12)-('Input data'!G13-'Input data'!F13))</f>
        <v>1.9359158250000001</v>
      </c>
      <c r="H51" s="23">
        <f>'Input data'!H30-$C$46*((H12-G12))</f>
        <v>1.8523499999999999</v>
      </c>
      <c r="I51" s="23">
        <f>'Input data'!I30-$C$46*((I12-H12))</f>
        <v>1.7025399999999999</v>
      </c>
      <c r="J51" s="23">
        <f>'Input data'!J30-$C$46*((J12-I12))</f>
        <v>1.3549960000000001</v>
      </c>
      <c r="K51" s="23">
        <f>'Input data'!K30-$C$46*((K12-J12))</f>
        <v>1.0625849999999999</v>
      </c>
      <c r="L51" s="23">
        <f>'Input data'!L30-$C$46*((L12-K12))</f>
        <v>1.032675</v>
      </c>
      <c r="M51" s="23">
        <f>'Input data'!M30-$C$46*((M12-L12))</f>
        <v>0.99759059999999999</v>
      </c>
      <c r="N51" s="23">
        <f>'Input data'!N30-$C$46*((N12-M12))</f>
        <v>0.97505750000000002</v>
      </c>
      <c r="O51" s="23">
        <f>'Input data'!O30-$C$46*((O12-N12))</f>
        <v>0.98748159999999996</v>
      </c>
      <c r="P51" s="23">
        <f>'Input data'!P30-$C$46*((P12-O12))</f>
        <v>1.0150079999999999</v>
      </c>
      <c r="Q51" s="23">
        <f>'Input data'!Q30-$C$46*((Q12-P12))</f>
        <v>1.0425329999999999</v>
      </c>
      <c r="R51" s="23">
        <f>'Input data'!R30-$C$46*((R12-Q12))</f>
        <v>1.070057</v>
      </c>
      <c r="S51" s="23">
        <f>'Input data'!S30-$C$46*((S12-R12))</f>
        <v>1.179827</v>
      </c>
      <c r="T51" s="23">
        <f>'Input data'!T30-$C$46*((T12-S12))</f>
        <v>1.2857700000000001</v>
      </c>
      <c r="U51" s="23">
        <f>'Input data'!U30-$C$46*((U12-T12))</f>
        <v>1.4476530000000001</v>
      </c>
      <c r="V51" s="23">
        <f>'Input data'!V30-$C$46*((V12-U12))</f>
        <v>1.6124210000000001</v>
      </c>
      <c r="W51" s="23">
        <f>'Input data'!W30-$C$46*((W12-V12))</f>
        <v>1.664423</v>
      </c>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row>
    <row r="52" spans="2:48" x14ac:dyDescent="0.2">
      <c r="C52" s="25"/>
    </row>
    <row r="53" spans="2:48" s="56" customFormat="1" ht="12.75" outlineLevel="1" x14ac:dyDescent="0.2">
      <c r="B53" s="57" t="s">
        <v>75</v>
      </c>
      <c r="C53" s="58"/>
      <c r="E53" s="59"/>
      <c r="F53" s="58"/>
    </row>
    <row r="54" spans="2:48" outlineLevel="1" x14ac:dyDescent="0.2">
      <c r="B54" s="30"/>
      <c r="C54" s="18"/>
      <c r="E54" s="31"/>
      <c r="F54" s="18"/>
    </row>
    <row r="55" spans="2:48" outlineLevel="1" x14ac:dyDescent="0.2">
      <c r="B55" s="66"/>
      <c r="C55" s="67">
        <v>2021</v>
      </c>
      <c r="D55" s="67">
        <v>2022</v>
      </c>
      <c r="E55" s="67">
        <v>2023</v>
      </c>
      <c r="F55" s="67">
        <v>2024</v>
      </c>
      <c r="G55" s="67">
        <v>2025</v>
      </c>
      <c r="H55" s="67">
        <v>2026</v>
      </c>
      <c r="I55" s="67">
        <v>2027</v>
      </c>
      <c r="J55" s="67">
        <v>2028</v>
      </c>
      <c r="K55" s="67">
        <v>2029</v>
      </c>
      <c r="L55" s="67">
        <v>2030</v>
      </c>
      <c r="M55" s="67">
        <v>2031</v>
      </c>
      <c r="N55" s="67">
        <v>2032</v>
      </c>
      <c r="O55" s="67">
        <v>2033</v>
      </c>
      <c r="P55" s="67">
        <v>2034</v>
      </c>
      <c r="Q55" s="67">
        <v>2035</v>
      </c>
      <c r="R55" s="67">
        <v>2036</v>
      </c>
      <c r="S55" s="67">
        <v>2037</v>
      </c>
      <c r="T55" s="67">
        <v>2038</v>
      </c>
      <c r="U55" s="67">
        <v>2039</v>
      </c>
      <c r="V55" s="67">
        <v>2040</v>
      </c>
      <c r="W55" s="67">
        <v>2041</v>
      </c>
    </row>
    <row r="56" spans="2:48" ht="10.5" customHeight="1" outlineLevel="1" x14ac:dyDescent="0.2">
      <c r="B56" s="68" t="s">
        <v>76</v>
      </c>
      <c r="C56" s="32">
        <f>+'Input data'!C12</f>
        <v>51.650089999999999</v>
      </c>
      <c r="D56" s="32">
        <f>+C56+D57</f>
        <v>50.132855552279821</v>
      </c>
      <c r="E56" s="32">
        <f t="shared" ref="E56:T56" si="14">+D56+E57</f>
        <v>46.482690336671389</v>
      </c>
      <c r="F56" s="32">
        <f>+E56+F57</f>
        <v>47.061224448752846</v>
      </c>
      <c r="G56" s="32">
        <f>+F56+G57</f>
        <v>48.424295148872702</v>
      </c>
      <c r="H56" s="32">
        <f t="shared" si="14"/>
        <v>48.584281331793697</v>
      </c>
      <c r="I56" s="32">
        <f t="shared" si="14"/>
        <v>48.743724125324157</v>
      </c>
      <c r="J56" s="32">
        <f t="shared" si="14"/>
        <v>49.02540462496038</v>
      </c>
      <c r="K56" s="32">
        <f t="shared" si="14"/>
        <v>49.640511925899268</v>
      </c>
      <c r="L56" s="32">
        <f t="shared" si="14"/>
        <v>50.477027080752762</v>
      </c>
      <c r="M56" s="32">
        <f t="shared" si="14"/>
        <v>51.556630657020904</v>
      </c>
      <c r="N56" s="32">
        <f t="shared" si="14"/>
        <v>52.865725407327631</v>
      </c>
      <c r="O56" s="32">
        <f t="shared" si="14"/>
        <v>54.342534322999015</v>
      </c>
      <c r="P56" s="32">
        <f t="shared" si="14"/>
        <v>56.002671698672621</v>
      </c>
      <c r="Q56" s="32">
        <f t="shared" si="14"/>
        <v>57.820292706308166</v>
      </c>
      <c r="R56" s="32">
        <f>+Q56+R57</f>
        <v>59.821431427739128</v>
      </c>
      <c r="S56" s="32">
        <f t="shared" si="14"/>
        <v>61.967742773165533</v>
      </c>
      <c r="T56" s="32">
        <f t="shared" si="14"/>
        <v>64.228302666543684</v>
      </c>
      <c r="U56" s="32">
        <f t="shared" ref="U56" si="15">+T56+U57</f>
        <v>66.569915823758407</v>
      </c>
      <c r="V56" s="32">
        <f t="shared" ref="V56" si="16">+U56+V57</f>
        <v>68.974953995748109</v>
      </c>
      <c r="W56" s="32">
        <f t="shared" ref="W56" si="17">+V56+W57</f>
        <v>71.479182919606316</v>
      </c>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row>
    <row r="57" spans="2:48" outlineLevel="1" x14ac:dyDescent="0.2">
      <c r="B57" s="69" t="s">
        <v>77</v>
      </c>
      <c r="C57" s="33"/>
      <c r="D57" s="33">
        <f>-D58+D66+D71</f>
        <v>-1.5172344477201758</v>
      </c>
      <c r="E57" s="33">
        <f t="shared" ref="E57:T57" si="18">-E58+E66+E71</f>
        <v>-3.6501652156084297</v>
      </c>
      <c r="F57" s="33">
        <f>-F58+F66+F71</f>
        <v>0.57853411208145367</v>
      </c>
      <c r="G57" s="33">
        <f>-G58+G66+G71</f>
        <v>1.3630707001198568</v>
      </c>
      <c r="H57" s="33">
        <f t="shared" si="18"/>
        <v>0.15998618292099298</v>
      </c>
      <c r="I57" s="33">
        <f t="shared" si="18"/>
        <v>0.15944279353046009</v>
      </c>
      <c r="J57" s="33">
        <f t="shared" si="18"/>
        <v>0.28168049963622332</v>
      </c>
      <c r="K57" s="33">
        <f t="shared" si="18"/>
        <v>0.61510730093888921</v>
      </c>
      <c r="L57" s="33">
        <f t="shared" si="18"/>
        <v>0.83651515485349626</v>
      </c>
      <c r="M57" s="33">
        <f t="shared" si="18"/>
        <v>1.079603576268142</v>
      </c>
      <c r="N57" s="33">
        <f t="shared" si="18"/>
        <v>1.3090947503067267</v>
      </c>
      <c r="O57" s="33">
        <f t="shared" si="18"/>
        <v>1.4768089156713871</v>
      </c>
      <c r="P57" s="33">
        <f t="shared" si="18"/>
        <v>1.6601373756736049</v>
      </c>
      <c r="Q57" s="33">
        <f t="shared" si="18"/>
        <v>1.8176210076355415</v>
      </c>
      <c r="R57" s="33">
        <f>-R58+R66+R71</f>
        <v>2.0011387214309657</v>
      </c>
      <c r="S57" s="33">
        <f t="shared" si="18"/>
        <v>2.1463113454264038</v>
      </c>
      <c r="T57" s="33">
        <f t="shared" si="18"/>
        <v>2.2605598933781459</v>
      </c>
      <c r="U57" s="33">
        <f t="shared" ref="U57:W57" si="19">-U58+U66+U71</f>
        <v>2.3416131572147285</v>
      </c>
      <c r="V57" s="33">
        <f t="shared" si="19"/>
        <v>2.4050381719897023</v>
      </c>
      <c r="W57" s="33">
        <f t="shared" si="19"/>
        <v>2.5042289238582027</v>
      </c>
    </row>
    <row r="58" spans="2:48" outlineLevel="1" x14ac:dyDescent="0.2">
      <c r="B58" s="65" t="s">
        <v>78</v>
      </c>
      <c r="C58" s="34"/>
      <c r="D58" s="34">
        <f>D59+D60-D61-D62-D63-D64-D65</f>
        <v>0.44650744772017598</v>
      </c>
      <c r="E58" s="34">
        <f>E59+E60-E61-E62-E63-E64-E65</f>
        <v>0.2876926156084299</v>
      </c>
      <c r="F58" s="34">
        <f>F59+F60-F61-F62-F63-F64-F65</f>
        <v>-1.2864409120814537</v>
      </c>
      <c r="G58" s="34">
        <f t="shared" ref="G58:T58" si="20">G59+G60-G61-G62-G63-G64-G65</f>
        <v>-1.4318359001198566</v>
      </c>
      <c r="H58" s="34">
        <f t="shared" si="20"/>
        <v>-1.2750857515148157</v>
      </c>
      <c r="I58" s="34">
        <f t="shared" si="20"/>
        <v>-1.1645803284184431</v>
      </c>
      <c r="J58" s="34">
        <f t="shared" si="20"/>
        <v>-1.090103000147348</v>
      </c>
      <c r="K58" s="34">
        <f t="shared" si="20"/>
        <v>-1.2586005987862079</v>
      </c>
      <c r="L58" s="34">
        <f t="shared" si="20"/>
        <v>-1.4475054011540309</v>
      </c>
      <c r="M58" s="34">
        <f t="shared" si="20"/>
        <v>-1.661290203105795</v>
      </c>
      <c r="N58" s="34">
        <f t="shared" si="20"/>
        <v>-1.8731442858007874</v>
      </c>
      <c r="O58" s="34">
        <f t="shared" si="20"/>
        <v>-2.0464206867166825</v>
      </c>
      <c r="P58" s="34">
        <f t="shared" si="20"/>
        <v>-2.21222548887493</v>
      </c>
      <c r="Q58" s="34">
        <f t="shared" si="20"/>
        <v>-2.3527708901172057</v>
      </c>
      <c r="R58" s="34">
        <f t="shared" si="20"/>
        <v>-2.5194984887118683</v>
      </c>
      <c r="S58" s="34">
        <f t="shared" si="20"/>
        <v>-2.6961160825475519</v>
      </c>
      <c r="T58" s="34">
        <f t="shared" si="20"/>
        <v>-2.8422910879079377</v>
      </c>
      <c r="U58" s="34">
        <f t="shared" ref="U58:W58" si="21">U59+U60-U61-U62-U63-U64-U65</f>
        <v>-2.9929072879079346</v>
      </c>
      <c r="V58" s="34">
        <f t="shared" si="21"/>
        <v>-3.1324734879079412</v>
      </c>
      <c r="W58" s="34">
        <f t="shared" si="21"/>
        <v>-3.2370191928128698</v>
      </c>
    </row>
    <row r="59" spans="2:48" outlineLevel="1" x14ac:dyDescent="0.2">
      <c r="B59" s="64" t="s">
        <v>79</v>
      </c>
      <c r="C59" s="1"/>
      <c r="D59" s="1">
        <f>D12</f>
        <v>-0.58009900000000003</v>
      </c>
      <c r="E59" s="1">
        <f>E12</f>
        <v>-0.18470490000000001</v>
      </c>
      <c r="F59" s="1">
        <f>F12</f>
        <v>-0.64168910000000001</v>
      </c>
      <c r="G59" s="1">
        <f t="shared" ref="G59:W59" si="22">IF(G12="",F59,G12)</f>
        <v>-0.64168910000000001</v>
      </c>
      <c r="H59" s="1">
        <f>IF(H12="",G59,H12)</f>
        <v>-0.64168910000000001</v>
      </c>
      <c r="I59" s="1">
        <f t="shared" si="22"/>
        <v>-0.64168910000000001</v>
      </c>
      <c r="J59" s="1">
        <f t="shared" si="22"/>
        <v>-0.64168910000000001</v>
      </c>
      <c r="K59" s="1">
        <f t="shared" si="22"/>
        <v>-0.64168910000000001</v>
      </c>
      <c r="L59" s="1">
        <f t="shared" si="22"/>
        <v>-0.64168910000000001</v>
      </c>
      <c r="M59" s="1">
        <f t="shared" si="22"/>
        <v>-0.64168910000000001</v>
      </c>
      <c r="N59" s="1">
        <f t="shared" si="22"/>
        <v>-0.64168910000000001</v>
      </c>
      <c r="O59" s="1">
        <f t="shared" si="22"/>
        <v>-0.64168910000000001</v>
      </c>
      <c r="P59" s="1">
        <f t="shared" si="22"/>
        <v>-0.64168910000000001</v>
      </c>
      <c r="Q59" s="1">
        <f t="shared" si="22"/>
        <v>-0.64168910000000001</v>
      </c>
      <c r="R59" s="1">
        <f t="shared" si="22"/>
        <v>-0.64168910000000001</v>
      </c>
      <c r="S59" s="1">
        <f t="shared" si="22"/>
        <v>-0.64168910000000001</v>
      </c>
      <c r="T59" s="1">
        <f t="shared" si="22"/>
        <v>-0.64168910000000001</v>
      </c>
      <c r="U59" s="1">
        <f t="shared" si="22"/>
        <v>-0.64168910000000001</v>
      </c>
      <c r="V59" s="1">
        <f t="shared" si="22"/>
        <v>-0.64168910000000001</v>
      </c>
      <c r="W59" s="1">
        <f t="shared" si="22"/>
        <v>-0.64168910000000001</v>
      </c>
    </row>
    <row r="60" spans="2:48" outlineLevel="1" x14ac:dyDescent="0.2">
      <c r="B60" s="64" t="s">
        <v>80</v>
      </c>
      <c r="C60" s="1"/>
      <c r="D60" s="1">
        <v>0</v>
      </c>
      <c r="E60" s="1">
        <v>0</v>
      </c>
      <c r="F60" s="1">
        <v>0</v>
      </c>
      <c r="G60" s="1">
        <v>0</v>
      </c>
      <c r="H60" s="1">
        <v>0</v>
      </c>
      <c r="I60" s="1">
        <v>0</v>
      </c>
      <c r="J60" s="1">
        <v>0</v>
      </c>
      <c r="K60" s="1">
        <v>0</v>
      </c>
      <c r="L60" s="1">
        <v>0</v>
      </c>
      <c r="M60" s="1">
        <v>0</v>
      </c>
      <c r="N60" s="1">
        <v>0</v>
      </c>
      <c r="O60" s="1">
        <v>0</v>
      </c>
      <c r="P60" s="1">
        <v>0</v>
      </c>
      <c r="Q60" s="1">
        <v>0</v>
      </c>
      <c r="R60" s="1">
        <v>0</v>
      </c>
      <c r="S60" s="1">
        <v>0</v>
      </c>
      <c r="T60" s="1">
        <v>0</v>
      </c>
      <c r="U60" s="1">
        <v>0</v>
      </c>
      <c r="V60" s="1">
        <v>0</v>
      </c>
      <c r="W60" s="1">
        <v>0</v>
      </c>
    </row>
    <row r="61" spans="2:48" outlineLevel="1" x14ac:dyDescent="0.2">
      <c r="B61" s="64" t="s">
        <v>81</v>
      </c>
      <c r="C61" s="1"/>
      <c r="D61" s="1">
        <f t="shared" ref="D61:W61" si="23">-$C$47*D29</f>
        <v>-1.214390247720176</v>
      </c>
      <c r="E61" s="1">
        <f t="shared" si="23"/>
        <v>1.1121284391570119E-2</v>
      </c>
      <c r="F61" s="1">
        <f t="shared" si="23"/>
        <v>0.64475181208145382</v>
      </c>
      <c r="G61" s="1">
        <f t="shared" si="23"/>
        <v>0.76845080011985356</v>
      </c>
      <c r="H61" s="1">
        <f>-$C$47*H29</f>
        <v>0.51230365151481616</v>
      </c>
      <c r="I61" s="1">
        <f t="shared" si="23"/>
        <v>0.17077222841844603</v>
      </c>
      <c r="J61" s="1">
        <f>-$C$47*J29</f>
        <v>8.9001473470573522E-6</v>
      </c>
      <c r="K61" s="1">
        <f t="shared" si="23"/>
        <v>9.4987862049866756E-6</v>
      </c>
      <c r="L61" s="1">
        <f t="shared" si="23"/>
        <v>8.301154027556823E-6</v>
      </c>
      <c r="M61" s="1">
        <f t="shared" si="23"/>
        <v>7.1031057950476928E-6</v>
      </c>
      <c r="N61" s="1">
        <f t="shared" si="23"/>
        <v>5.1858007892868763E-6</v>
      </c>
      <c r="O61" s="1">
        <f t="shared" si="23"/>
        <v>4.5867166781343727E-6</v>
      </c>
      <c r="P61" s="1">
        <f t="shared" si="23"/>
        <v>3.3888749282895425E-6</v>
      </c>
      <c r="Q61" s="1">
        <f t="shared" si="23"/>
        <v>2.7901172022781751E-6</v>
      </c>
      <c r="R61" s="1">
        <f t="shared" si="23"/>
        <v>3.3887118633391111E-6</v>
      </c>
      <c r="S61" s="1">
        <f t="shared" si="23"/>
        <v>5.1825475504974072E-6</v>
      </c>
      <c r="T61" s="1">
        <f t="shared" si="23"/>
        <v>3.9879079376525794E-6</v>
      </c>
      <c r="U61" s="1">
        <f t="shared" si="23"/>
        <v>3.9879079309357301E-6</v>
      </c>
      <c r="V61" s="1">
        <f t="shared" si="23"/>
        <v>3.9879079376525794E-6</v>
      </c>
      <c r="W61" s="1">
        <f t="shared" si="23"/>
        <v>3.3928128692628512E-6</v>
      </c>
    </row>
    <row r="62" spans="2:48" outlineLevel="1" x14ac:dyDescent="0.2">
      <c r="B62" s="64" t="s">
        <v>82</v>
      </c>
      <c r="C62" s="1"/>
      <c r="D62" s="1">
        <f t="shared" ref="D62:W62" si="24">-D13</f>
        <v>0.1877838</v>
      </c>
      <c r="E62" s="1">
        <f t="shared" si="24"/>
        <v>-0.48351880000000003</v>
      </c>
      <c r="F62" s="1">
        <f t="shared" si="24"/>
        <v>0</v>
      </c>
      <c r="G62" s="1">
        <f t="shared" si="24"/>
        <v>0</v>
      </c>
      <c r="H62" s="1">
        <f>-H13</f>
        <v>0</v>
      </c>
      <c r="I62" s="1">
        <f t="shared" si="24"/>
        <v>0</v>
      </c>
      <c r="J62" s="1">
        <f t="shared" si="24"/>
        <v>0</v>
      </c>
      <c r="K62" s="1">
        <f t="shared" si="24"/>
        <v>0</v>
      </c>
      <c r="L62" s="1">
        <f t="shared" si="24"/>
        <v>0</v>
      </c>
      <c r="M62" s="1">
        <f t="shared" si="24"/>
        <v>0</v>
      </c>
      <c r="N62" s="1">
        <f t="shared" si="24"/>
        <v>0</v>
      </c>
      <c r="O62" s="1">
        <f t="shared" si="24"/>
        <v>0</v>
      </c>
      <c r="P62" s="1">
        <f t="shared" si="24"/>
        <v>0</v>
      </c>
      <c r="Q62" s="1">
        <f t="shared" si="24"/>
        <v>0</v>
      </c>
      <c r="R62" s="1">
        <f t="shared" si="24"/>
        <v>0</v>
      </c>
      <c r="S62" s="1">
        <f t="shared" si="24"/>
        <v>0</v>
      </c>
      <c r="T62" s="1">
        <f t="shared" si="24"/>
        <v>0</v>
      </c>
      <c r="U62" s="1">
        <f t="shared" si="24"/>
        <v>0</v>
      </c>
      <c r="V62" s="1">
        <f t="shared" si="24"/>
        <v>0</v>
      </c>
      <c r="W62" s="1">
        <f t="shared" si="24"/>
        <v>0</v>
      </c>
    </row>
    <row r="63" spans="2:48" outlineLevel="1" x14ac:dyDescent="0.2">
      <c r="B63" s="64" t="s">
        <v>83</v>
      </c>
      <c r="C63" s="1"/>
      <c r="D63" s="1">
        <f>IF(D$55&lt;=$C$5,0,HLOOKUP(D$55,'Input data'!$C$9:$BB$26,12,FALSE)-HLOOKUP($C$5,'Input data'!$C$9:$BB$26,12,FALSE))</f>
        <v>0</v>
      </c>
      <c r="E63" s="1">
        <f>IF(E$55&lt;=$C$5,0,HLOOKUP(E$55,'Input data'!$C$9:$BB$26,12,FALSE)-HLOOKUP($C$5,'Input data'!$C$9:$BB$26,12,FALSE))</f>
        <v>0</v>
      </c>
      <c r="F63" s="1">
        <f>IF(F$55&lt;=$C$5,0,HLOOKUP(F$55,'Input data'!$C$9:$BB$26,12,FALSE)-HLOOKUP($C$5,'Input data'!$C$9:$BB$26,12,FALSE))</f>
        <v>0</v>
      </c>
      <c r="G63" s="1">
        <f>IF(G$55&lt;=$C$5,0,HLOOKUP(G$55,'Input data'!$C$9:$BB$26,12,FALSE)-HLOOKUP($C$5,'Input data'!$C$9:$BB$26,12,FALSE))</f>
        <v>-1.3129999999996755E-2</v>
      </c>
      <c r="H63" s="1">
        <f>IF(H$55&lt;=$C$5,0,HLOOKUP(H$55,'Input data'!$C$9:$BB$26,12,FALSE)-HLOOKUP($C$5,'Input data'!$C$9:$BB$26,12,FALSE))</f>
        <v>5.1439999999999486E-2</v>
      </c>
      <c r="I63" s="1">
        <f>IF(I$55&lt;=$C$5,0,HLOOKUP(I$55,'Input data'!$C$9:$BB$26,12,FALSE)-HLOOKUP($C$5,'Input data'!$C$9:$BB$26,12,FALSE))</f>
        <v>0.24763999999999697</v>
      </c>
      <c r="J63" s="1">
        <f>IF(J$55&lt;=$C$5,0,HLOOKUP(J$55,'Input data'!$C$9:$BB$26,12,FALSE)-HLOOKUP($C$5,'Input data'!$C$9:$BB$26,12,FALSE))</f>
        <v>0.30910000000000082</v>
      </c>
      <c r="K63" s="1">
        <f>IF(K$55&lt;=$C$5,0,HLOOKUP(K$55,'Input data'!$C$9:$BB$26,12,FALSE)-HLOOKUP($C$5,'Input data'!$C$9:$BB$26,12,FALSE))</f>
        <v>0.44277000000000299</v>
      </c>
      <c r="L63" s="1">
        <f>IF(L$55&lt;=$C$5,0,HLOOKUP(L$55,'Input data'!$C$9:$BB$26,12,FALSE)-HLOOKUP($C$5,'Input data'!$C$9:$BB$26,12,FALSE))</f>
        <v>0.59685000000000343</v>
      </c>
      <c r="M63" s="1">
        <f>IF(M$55&lt;=$C$5,0,HLOOKUP(M$55,'Input data'!$C$9:$BB$26,12,FALSE)-HLOOKUP($C$5,'Input data'!$C$9:$BB$26,12,FALSE))</f>
        <v>0.77580999999999989</v>
      </c>
      <c r="N63" s="1">
        <f>IF(N$55&lt;=$C$5,0,HLOOKUP(N$55,'Input data'!$C$9:$BB$26,12,FALSE)-HLOOKUP($C$5,'Input data'!$C$9:$BB$26,12,FALSE))</f>
        <v>0.95283999999999835</v>
      </c>
      <c r="O63" s="1">
        <f>IF(O$55&lt;=$C$5,0,HLOOKUP(O$55,'Input data'!$C$9:$BB$26,12,FALSE)-HLOOKUP($C$5,'Input data'!$C$9:$BB$26,12,FALSE))</f>
        <v>1.0912900000000043</v>
      </c>
      <c r="P63" s="1">
        <f>IF(P$55&lt;=$C$5,0,HLOOKUP(P$55,'Input data'!$C$9:$BB$26,12,FALSE)-HLOOKUP($C$5,'Input data'!$C$9:$BB$26,12,FALSE))</f>
        <v>1.2222700000000017</v>
      </c>
      <c r="Q63" s="1">
        <f>IF(Q$55&lt;=$C$5,0,HLOOKUP(Q$55,'Input data'!$C$9:$BB$26,12,FALSE)-HLOOKUP($C$5,'Input data'!$C$9:$BB$26,12,FALSE))</f>
        <v>1.3279900000000033</v>
      </c>
      <c r="R63" s="1">
        <f>IF(R$55&lt;=$C$5,0,HLOOKUP(R$55,'Input data'!$C$9:$BB$26,12,FALSE)-HLOOKUP($C$5,'Input data'!$C$9:$BB$26,12,FALSE))</f>
        <v>1.459890000000005</v>
      </c>
      <c r="S63" s="1">
        <f>IF(S$55&lt;=$C$5,0,HLOOKUP(S$55,'Input data'!$C$9:$BB$26,12,FALSE)-HLOOKUP($C$5,'Input data'!$C$9:$BB$26,12,FALSE))</f>
        <v>1.6016800000000018</v>
      </c>
      <c r="T63" s="1">
        <f>IF(T$55&lt;=$C$5,0,HLOOKUP(T$55,'Input data'!$C$9:$BB$26,12,FALSE)-HLOOKUP($C$5,'Input data'!$C$9:$BB$26,12,FALSE))</f>
        <v>1.7130299999999998</v>
      </c>
      <c r="U63" s="1">
        <f>IF(U$55&lt;=$C$5,0,HLOOKUP(U$55,'Input data'!$C$9:$BB$26,12,FALSE)-HLOOKUP($C$5,'Input data'!$C$9:$BB$26,12,FALSE))</f>
        <v>1.8288200000000039</v>
      </c>
      <c r="V63" s="1">
        <f>IF(V$55&lt;=$C$5,0,HLOOKUP(V$55,'Input data'!$C$9:$BB$26,12,FALSE)-HLOOKUP($C$5,'Input data'!$C$9:$BB$26,12,FALSE))</f>
        <v>1.9335600000000035</v>
      </c>
      <c r="W63" s="1">
        <f>IF(W$55&lt;=$C$5,0,HLOOKUP(W$55,'Input data'!$C$9:$BB$26,12,FALSE)-HLOOKUP($C$5,'Input data'!$C$9:$BB$26,12,FALSE))</f>
        <v>2.0032800000000002</v>
      </c>
    </row>
    <row r="64" spans="2:48" outlineLevel="1" x14ac:dyDescent="0.2">
      <c r="B64" s="64" t="s">
        <v>84</v>
      </c>
      <c r="C64" s="1"/>
      <c r="D64" s="1">
        <f>IF(D$55&lt;=$C$5,0,-HLOOKUP(D$55,'Input data'!$C$9:$BB$26,18,FALSE)+HLOOKUP($C$5,'Input data'!$C$9:$BB$26,18,FALSE))</f>
        <v>0</v>
      </c>
      <c r="E64" s="1">
        <f>IF(E$55&lt;=$C$5,0,-HLOOKUP(E$55,'Input data'!$C$9:$BB$26,18,FALSE)+HLOOKUP($C$5,'Input data'!$C$9:$BB$26,18,FALSE))</f>
        <v>0</v>
      </c>
      <c r="F64" s="1">
        <f>IF(F$55&lt;=$C$5,0,-HLOOKUP(F$55,'Input data'!$C$9:$BB$26,18,FALSE)+HLOOKUP($C$5,'Input data'!$C$9:$BB$26,18,FALSE))</f>
        <v>0</v>
      </c>
      <c r="G64" s="1">
        <f>IF(G$55&lt;=$C$5,0,-HLOOKUP(G$55,'Input data'!$C$9:$BB$26,18,FALSE)+HLOOKUP($C$5,'Input data'!$C$9:$BB$26,18,FALSE))</f>
        <v>3.4825999999999802E-2</v>
      </c>
      <c r="H64" s="1">
        <f>IF(H$55&lt;=$C$5,0,-HLOOKUP(H$55,'Input data'!$C$9:$BB$26,18,FALSE)+HLOOKUP($C$5,'Input data'!$C$9:$BB$26,18,FALSE))</f>
        <v>6.9652999999999965E-2</v>
      </c>
      <c r="I64" s="1">
        <f>IF(I$55&lt;=$C$5,0,-HLOOKUP(I$55,'Input data'!$C$9:$BB$26,18,FALSE)+HLOOKUP($C$5,'Input data'!$C$9:$BB$26,18,FALSE))</f>
        <v>0.10447899999999999</v>
      </c>
      <c r="J64" s="1">
        <f>IF(J$55&lt;=$C$5,0,-HLOOKUP(J$55,'Input data'!$C$9:$BB$26,18,FALSE)+HLOOKUP($C$5,'Input data'!$C$9:$BB$26,18,FALSE))</f>
        <v>0.13930500000000001</v>
      </c>
      <c r="K64" s="1">
        <f>IF(K$55&lt;=$C$5,0,-HLOOKUP(K$55,'Input data'!$C$9:$BB$26,18,FALSE)+HLOOKUP($C$5,'Input data'!$C$9:$BB$26,18,FALSE))</f>
        <v>0.17413199999999995</v>
      </c>
      <c r="L64" s="1">
        <f>IF(L$55&lt;=$C$5,0,-HLOOKUP(L$55,'Input data'!$C$9:$BB$26,18,FALSE)+HLOOKUP($C$5,'Input data'!$C$9:$BB$26,18,FALSE))</f>
        <v>0.20895799999999998</v>
      </c>
      <c r="M64" s="1">
        <f>IF(M$55&lt;=$C$5,0,-HLOOKUP(M$55,'Input data'!$C$9:$BB$26,18,FALSE)+HLOOKUP($C$5,'Input data'!$C$9:$BB$26,18,FALSE))</f>
        <v>0.243784</v>
      </c>
      <c r="N64" s="1">
        <f>IF(N$55&lt;=$C$5,0,-HLOOKUP(N$55,'Input data'!$C$9:$BB$26,18,FALSE)+HLOOKUP($C$5,'Input data'!$C$9:$BB$26,18,FALSE))</f>
        <v>0.2786099999999998</v>
      </c>
      <c r="O64" s="1">
        <f>IF(O$55&lt;=$C$5,0,-HLOOKUP(O$55,'Input data'!$C$9:$BB$26,18,FALSE)+HLOOKUP($C$5,'Input data'!$C$9:$BB$26,18,FALSE))</f>
        <v>0.31343699999999997</v>
      </c>
      <c r="P64" s="1">
        <f>IF(P$55&lt;=$C$5,0,-HLOOKUP(P$55,'Input data'!$C$9:$BB$26,18,FALSE)+HLOOKUP($C$5,'Input data'!$C$9:$BB$26,18,FALSE))</f>
        <v>0.34826299999999999</v>
      </c>
      <c r="Q64" s="1">
        <f>IF(Q$55&lt;=$C$5,0,-HLOOKUP(Q$55,'Input data'!$C$9:$BB$26,18,FALSE)+HLOOKUP($C$5,'Input data'!$C$9:$BB$26,18,FALSE))</f>
        <v>0.38308900000000001</v>
      </c>
      <c r="R64" s="1">
        <f>IF(R$55&lt;=$C$5,0,-HLOOKUP(R$55,'Input data'!$C$9:$BB$26,18,FALSE)+HLOOKUP($C$5,'Input data'!$C$9:$BB$26,18,FALSE))</f>
        <v>0.41791599999999995</v>
      </c>
      <c r="S64" s="1">
        <f>IF(S$55&lt;=$C$5,0,-HLOOKUP(S$55,'Input data'!$C$9:$BB$26,18,FALSE)+HLOOKUP($C$5,'Input data'!$C$9:$BB$26,18,FALSE))</f>
        <v>0.45274179999999986</v>
      </c>
      <c r="T64" s="1">
        <f>IF(T$55&lt;=$C$5,0,-HLOOKUP(T$55,'Input data'!$C$9:$BB$26,18,FALSE)+HLOOKUP($C$5,'Input data'!$C$9:$BB$26,18,FALSE))</f>
        <v>0.48756799999999989</v>
      </c>
      <c r="U64" s="1">
        <f>IF(U$55&lt;=$C$5,0,-HLOOKUP(U$55,'Input data'!$C$9:$BB$26,18,FALSE)+HLOOKUP($C$5,'Input data'!$C$9:$BB$26,18,FALSE))</f>
        <v>0.52239419999999992</v>
      </c>
      <c r="V64" s="1">
        <f>IF(V$55&lt;=$C$5,0,-HLOOKUP(V$55,'Input data'!$C$9:$BB$26,18,FALSE)+HLOOKUP($C$5,'Input data'!$C$9:$BB$26,18,FALSE))</f>
        <v>0.55722039999999995</v>
      </c>
      <c r="W64" s="1">
        <f>IF(W$55&lt;=$C$5,0,-HLOOKUP(W$55,'Input data'!$C$9:$BB$26,18,FALSE)+HLOOKUP($C$5,'Input data'!$C$9:$BB$26,18,FALSE))</f>
        <v>0.59204669999999993</v>
      </c>
    </row>
    <row r="65" spans="2:23" outlineLevel="1" x14ac:dyDescent="0.2">
      <c r="B65" s="64" t="s">
        <v>85</v>
      </c>
      <c r="C65" s="26"/>
      <c r="D65" s="26">
        <v>0</v>
      </c>
      <c r="E65" s="26">
        <v>0</v>
      </c>
      <c r="F65" s="26">
        <v>0</v>
      </c>
      <c r="G65" s="26">
        <v>0</v>
      </c>
      <c r="H65" s="26">
        <v>0</v>
      </c>
      <c r="I65" s="26">
        <v>0</v>
      </c>
      <c r="J65" s="26">
        <v>0</v>
      </c>
      <c r="K65" s="26">
        <v>0</v>
      </c>
      <c r="L65" s="26">
        <v>0</v>
      </c>
      <c r="M65" s="26">
        <v>0</v>
      </c>
      <c r="N65" s="26">
        <v>0</v>
      </c>
      <c r="O65" s="26">
        <v>0</v>
      </c>
      <c r="P65" s="26">
        <v>0</v>
      </c>
      <c r="Q65" s="26">
        <v>0</v>
      </c>
      <c r="R65" s="26">
        <v>0</v>
      </c>
      <c r="S65" s="26">
        <v>0</v>
      </c>
      <c r="T65" s="26">
        <v>0</v>
      </c>
      <c r="U65" s="26">
        <v>0</v>
      </c>
      <c r="V65" s="26">
        <v>0</v>
      </c>
      <c r="W65" s="26">
        <v>0</v>
      </c>
    </row>
    <row r="66" spans="2:23" outlineLevel="1" x14ac:dyDescent="0.2">
      <c r="B66" s="65" t="s">
        <v>86</v>
      </c>
      <c r="C66" s="34"/>
      <c r="D66" s="34">
        <f>SUM(D67:D70)</f>
        <v>-4.1995189999999996</v>
      </c>
      <c r="E66" s="34">
        <f t="shared" ref="E66:T66" si="25">SUM(E67:E70)</f>
        <v>-3.0311659999999998</v>
      </c>
      <c r="F66" s="34">
        <f t="shared" si="25"/>
        <v>-1.3079080000000001</v>
      </c>
      <c r="G66" s="34">
        <f>SUM(G67:G70)</f>
        <v>-0.96876289999999998</v>
      </c>
      <c r="H66" s="34">
        <f t="shared" si="25"/>
        <v>-1.1150995685938228</v>
      </c>
      <c r="I66" s="34">
        <f t="shared" si="25"/>
        <v>-1.005137534887983</v>
      </c>
      <c r="J66" s="34">
        <f t="shared" si="25"/>
        <v>-0.80842250051112463</v>
      </c>
      <c r="K66" s="34">
        <f t="shared" si="25"/>
        <v>-0.64349329784731868</v>
      </c>
      <c r="L66" s="34">
        <f t="shared" si="25"/>
        <v>-0.61099024630053467</v>
      </c>
      <c r="M66" s="34">
        <f t="shared" si="25"/>
        <v>-0.58168662683765304</v>
      </c>
      <c r="N66" s="34">
        <f t="shared" si="25"/>
        <v>-0.56404953549406067</v>
      </c>
      <c r="O66" s="34">
        <f t="shared" si="25"/>
        <v>-0.56961177104529548</v>
      </c>
      <c r="P66" s="34">
        <f t="shared" si="25"/>
        <v>-0.552088113201325</v>
      </c>
      <c r="Q66" s="34">
        <f t="shared" si="25"/>
        <v>-0.53514988248166417</v>
      </c>
      <c r="R66" s="34">
        <f t="shared" si="25"/>
        <v>-0.51835976728090272</v>
      </c>
      <c r="S66" s="34">
        <f t="shared" si="25"/>
        <v>-0.54980473712114808</v>
      </c>
      <c r="T66" s="34">
        <f t="shared" si="25"/>
        <v>-0.58173119452979183</v>
      </c>
      <c r="U66" s="34">
        <f t="shared" ref="U66:W66" si="26">SUM(U67:U70)</f>
        <v>-0.65129413069320607</v>
      </c>
      <c r="V66" s="34">
        <f t="shared" si="26"/>
        <v>-0.72743531591823896</v>
      </c>
      <c r="W66" s="34">
        <f t="shared" si="26"/>
        <v>-0.73279026895466681</v>
      </c>
    </row>
    <row r="67" spans="2:23" outlineLevel="1" x14ac:dyDescent="0.2">
      <c r="B67" s="64" t="s">
        <v>87</v>
      </c>
      <c r="C67" s="23"/>
      <c r="D67" s="23">
        <f t="shared" ref="D67:W67" si="27">C56*D35/100*(1/(1+D32/100))</f>
        <v>0.54019131595723491</v>
      </c>
      <c r="E67" s="23">
        <f t="shared" si="27"/>
        <v>0.63089540818418677</v>
      </c>
      <c r="F67" s="23">
        <f t="shared" si="27"/>
        <v>0.70022170831849662</v>
      </c>
      <c r="G67" s="23">
        <f>F56*G35/100*(1/(1+G32/100))</f>
        <v>0.7276301280115135</v>
      </c>
      <c r="H67" s="23">
        <f>G56*H35/100*(1/(1+H32/100))</f>
        <v>0.82962295040798739</v>
      </c>
      <c r="I67" s="23">
        <f t="shared" si="27"/>
        <v>0.89431728839659352</v>
      </c>
      <c r="J67" s="23">
        <f t="shared" si="27"/>
        <v>0.95375999897536656</v>
      </c>
      <c r="K67" s="23">
        <f t="shared" si="27"/>
        <v>1.0093888942724287</v>
      </c>
      <c r="L67" s="23">
        <f t="shared" si="27"/>
        <v>1.0658753486388683</v>
      </c>
      <c r="M67" s="23">
        <f t="shared" si="27"/>
        <v>1.1242269642376297</v>
      </c>
      <c r="N67" s="23">
        <f t="shared" si="27"/>
        <v>1.1853366867190684</v>
      </c>
      <c r="O67" s="23">
        <f t="shared" si="27"/>
        <v>1.2490236986556693</v>
      </c>
      <c r="P67" s="23">
        <f t="shared" si="27"/>
        <v>1.3175787035912452</v>
      </c>
      <c r="Q67" s="23">
        <f t="shared" si="27"/>
        <v>1.3918602190815028</v>
      </c>
      <c r="R67" s="23">
        <f t="shared" si="27"/>
        <v>1.4714178256666011</v>
      </c>
      <c r="S67" s="23">
        <f t="shared" si="27"/>
        <v>1.5560155795519359</v>
      </c>
      <c r="T67" s="23">
        <f t="shared" si="27"/>
        <v>1.6461413352958496</v>
      </c>
      <c r="U67" s="23">
        <f t="shared" si="27"/>
        <v>1.740051991101043</v>
      </c>
      <c r="V67" s="23">
        <f t="shared" si="27"/>
        <v>1.8378287706769831</v>
      </c>
      <c r="W67" s="23">
        <f t="shared" si="27"/>
        <v>1.9412604510605311</v>
      </c>
    </row>
    <row r="68" spans="2:23" outlineLevel="1" x14ac:dyDescent="0.2">
      <c r="B68" s="64" t="s">
        <v>88</v>
      </c>
      <c r="C68" s="23"/>
      <c r="D68" s="23">
        <f t="shared" ref="D68:W68" si="28">-C56*(D23/100)*(1/(1+D32/100))</f>
        <v>-2.030711865677985</v>
      </c>
      <c r="E68" s="23">
        <f t="shared" si="28"/>
        <v>-4.5086894383943449E-2</v>
      </c>
      <c r="F68" s="23">
        <f t="shared" si="28"/>
        <v>-0.33819184991247714</v>
      </c>
      <c r="G68" s="23">
        <f t="shared" si="28"/>
        <v>-0.6598990730906038</v>
      </c>
      <c r="H68" s="23">
        <f t="shared" si="28"/>
        <v>-0.86096436360940942</v>
      </c>
      <c r="I68" s="23">
        <f t="shared" si="28"/>
        <v>-0.79482784523797489</v>
      </c>
      <c r="J68" s="23">
        <f t="shared" si="28"/>
        <v>-0.63659800976843406</v>
      </c>
      <c r="K68" s="23">
        <f t="shared" si="28"/>
        <v>-0.50337331749300196</v>
      </c>
      <c r="L68" s="23">
        <f t="shared" si="28"/>
        <v>-0.49530858474823691</v>
      </c>
      <c r="M68" s="23">
        <f t="shared" si="28"/>
        <v>-0.48653604368835346</v>
      </c>
      <c r="N68" s="23">
        <f t="shared" si="28"/>
        <v>-0.48564927240492506</v>
      </c>
      <c r="O68" s="23">
        <f t="shared" si="28"/>
        <v>-0.5040806204695123</v>
      </c>
      <c r="P68" s="23">
        <f t="shared" si="28"/>
        <v>-0.53260380301739907</v>
      </c>
      <c r="Q68" s="23">
        <f t="shared" si="28"/>
        <v>-0.5637566171181877</v>
      </c>
      <c r="R68" s="23">
        <f t="shared" si="28"/>
        <v>-0.59741833510657483</v>
      </c>
      <c r="S68" s="23">
        <f t="shared" si="28"/>
        <v>-0.68094436310335071</v>
      </c>
      <c r="T68" s="23">
        <f t="shared" si="28"/>
        <v>-0.76811732962779633</v>
      </c>
      <c r="U68" s="23">
        <f t="shared" si="28"/>
        <v>-0.89518455652876416</v>
      </c>
      <c r="V68" s="23">
        <f t="shared" si="28"/>
        <v>-1.0320244455868892</v>
      </c>
      <c r="W68" s="23">
        <f t="shared" si="28"/>
        <v>-1.1035274833290543</v>
      </c>
    </row>
    <row r="69" spans="2:23" outlineLevel="1" x14ac:dyDescent="0.2">
      <c r="B69" s="64" t="s">
        <v>89</v>
      </c>
      <c r="C69" s="23"/>
      <c r="D69" s="23">
        <f>-C56*D41/100*(1/(1+D41/100))</f>
        <v>-2.7089985503709033</v>
      </c>
      <c r="E69" s="23">
        <f t="shared" ref="E69:T69" si="29">-D56*E41/100*(1/(1+E41/100))</f>
        <v>-3.6169740093177798</v>
      </c>
      <c r="F69" s="23">
        <f>-E56*F41/100*(1/(1+F41/100))</f>
        <v>-1.669938244176407</v>
      </c>
      <c r="G69" s="23">
        <f>-F56*G41/100*(1/(1+G41/100))</f>
        <v>-1.0364935096516961</v>
      </c>
      <c r="H69" s="23">
        <f t="shared" si="29"/>
        <v>-1.0837581553924007</v>
      </c>
      <c r="I69" s="23">
        <f t="shared" si="29"/>
        <v>-1.1046269780466016</v>
      </c>
      <c r="J69" s="23">
        <f t="shared" si="29"/>
        <v>-1.1255844897180571</v>
      </c>
      <c r="K69" s="23">
        <f t="shared" si="29"/>
        <v>-1.1495088746267454</v>
      </c>
      <c r="L69" s="23">
        <f t="shared" si="29"/>
        <v>-1.1815570101911661</v>
      </c>
      <c r="M69" s="23">
        <f t="shared" si="29"/>
        <v>-1.2193775473869293</v>
      </c>
      <c r="N69" s="23">
        <f t="shared" si="29"/>
        <v>-1.2637369498082041</v>
      </c>
      <c r="O69" s="23">
        <f t="shared" si="29"/>
        <v>-1.3145548492314525</v>
      </c>
      <c r="P69" s="23">
        <f t="shared" si="29"/>
        <v>-1.3370630137751711</v>
      </c>
      <c r="Q69" s="23">
        <f t="shared" si="29"/>
        <v>-1.3632534844449793</v>
      </c>
      <c r="R69" s="23">
        <f t="shared" si="29"/>
        <v>-1.392359257840929</v>
      </c>
      <c r="S69" s="23">
        <f t="shared" si="29"/>
        <v>-1.4248759535697333</v>
      </c>
      <c r="T69" s="23">
        <f t="shared" si="29"/>
        <v>-1.4597552001978451</v>
      </c>
      <c r="U69" s="23">
        <f t="shared" ref="U69" si="30">-T56*U41/100*(1/(1+U41/100))</f>
        <v>-1.4961615652654849</v>
      </c>
      <c r="V69" s="23">
        <f t="shared" ref="V69" si="31">-U56*V41/100*(1/(1+V41/100))</f>
        <v>-1.5332396410083329</v>
      </c>
      <c r="W69" s="23">
        <f t="shared" ref="W69" si="32">-V56*W41/100*(1/(1+W41/100))</f>
        <v>-1.5705232366861437</v>
      </c>
    </row>
    <row r="70" spans="2:23" outlineLevel="1" x14ac:dyDescent="0.2">
      <c r="B70" s="64" t="s">
        <v>90</v>
      </c>
      <c r="C70" s="35"/>
      <c r="D70" s="35">
        <v>1.0009165407609544E-7</v>
      </c>
      <c r="E70" s="35">
        <v>-5.0448246335932367E-7</v>
      </c>
      <c r="F70" s="35">
        <v>3.8577038741216541E-7</v>
      </c>
      <c r="G70" s="35">
        <v>-4.4526921361143224E-7</v>
      </c>
      <c r="H70" s="35">
        <v>0</v>
      </c>
      <c r="I70" s="35">
        <v>0</v>
      </c>
      <c r="J70" s="35">
        <v>0</v>
      </c>
      <c r="K70" s="35">
        <v>0</v>
      </c>
      <c r="L70" s="35">
        <v>0</v>
      </c>
      <c r="M70" s="35">
        <v>0</v>
      </c>
      <c r="N70" s="35">
        <v>0</v>
      </c>
      <c r="O70" s="35">
        <v>0</v>
      </c>
      <c r="P70" s="35">
        <v>0</v>
      </c>
      <c r="Q70" s="35">
        <v>0</v>
      </c>
      <c r="R70" s="35">
        <v>0</v>
      </c>
      <c r="S70" s="35">
        <v>0</v>
      </c>
      <c r="T70" s="35">
        <v>0</v>
      </c>
      <c r="U70" s="35">
        <v>0</v>
      </c>
      <c r="V70" s="35">
        <v>0</v>
      </c>
      <c r="W70" s="35">
        <v>0</v>
      </c>
    </row>
    <row r="71" spans="2:23" outlineLevel="1" x14ac:dyDescent="0.2">
      <c r="B71" s="65" t="s">
        <v>91</v>
      </c>
      <c r="C71" s="36"/>
      <c r="D71" s="36">
        <f>'Input data'!D16</f>
        <v>3.1287919999999998</v>
      </c>
      <c r="E71" s="36">
        <f>'Input data'!E16</f>
        <v>-0.33130660000000001</v>
      </c>
      <c r="F71" s="36">
        <f>'Input data'!F16</f>
        <v>0.60000120000000001</v>
      </c>
      <c r="G71" s="36">
        <f>'Input data'!G16</f>
        <v>0.89999770000000001</v>
      </c>
      <c r="H71" s="36">
        <f>'Input data'!H16</f>
        <v>0</v>
      </c>
      <c r="I71" s="36">
        <f>'Input data'!I16</f>
        <v>0</v>
      </c>
      <c r="J71" s="36">
        <f>'Input data'!J16</f>
        <v>0</v>
      </c>
      <c r="K71" s="36">
        <f>'Input data'!K16</f>
        <v>0</v>
      </c>
      <c r="L71" s="36">
        <f>'Input data'!L16</f>
        <v>0</v>
      </c>
      <c r="M71" s="36">
        <f>'Input data'!M16</f>
        <v>0</v>
      </c>
      <c r="N71" s="36">
        <f>'Input data'!N16</f>
        <v>0</v>
      </c>
      <c r="O71" s="36">
        <f>'Input data'!O16</f>
        <v>0</v>
      </c>
      <c r="P71" s="36">
        <f>'Input data'!P16</f>
        <v>0</v>
      </c>
      <c r="Q71" s="36">
        <f>'Input data'!Q16</f>
        <v>0</v>
      </c>
      <c r="R71" s="36">
        <f>'Input data'!R16</f>
        <v>0</v>
      </c>
      <c r="S71" s="36">
        <f>'Input data'!S16</f>
        <v>0</v>
      </c>
      <c r="T71" s="36">
        <f>'Input data'!T16</f>
        <v>0</v>
      </c>
      <c r="U71" s="36">
        <f>'Input data'!U16</f>
        <v>0</v>
      </c>
      <c r="V71" s="36">
        <f>'Input data'!V16</f>
        <v>0</v>
      </c>
      <c r="W71" s="36">
        <f>'Input data'!W16</f>
        <v>0</v>
      </c>
    </row>
    <row r="72" spans="2:23" outlineLevel="1" x14ac:dyDescent="0.2">
      <c r="B72" s="64" t="s">
        <v>92</v>
      </c>
      <c r="C72" s="23"/>
      <c r="D72" s="23">
        <f t="shared" ref="D72:W72" si="33">D14</f>
        <v>3.1287919999999998</v>
      </c>
      <c r="E72" s="23">
        <f t="shared" si="33"/>
        <v>-0.33130710000000002</v>
      </c>
      <c r="F72" s="23">
        <f t="shared" si="33"/>
        <v>0.6</v>
      </c>
      <c r="G72" s="23">
        <f t="shared" si="33"/>
        <v>0.9</v>
      </c>
      <c r="H72" s="23">
        <f>H14</f>
        <v>0</v>
      </c>
      <c r="I72" s="23">
        <f t="shared" si="33"/>
        <v>0</v>
      </c>
      <c r="J72" s="23">
        <f t="shared" si="33"/>
        <v>0</v>
      </c>
      <c r="K72" s="23">
        <f t="shared" si="33"/>
        <v>0</v>
      </c>
      <c r="L72" s="23">
        <f t="shared" si="33"/>
        <v>0</v>
      </c>
      <c r="M72" s="23">
        <f t="shared" si="33"/>
        <v>0</v>
      </c>
      <c r="N72" s="23">
        <f t="shared" si="33"/>
        <v>0</v>
      </c>
      <c r="O72" s="23">
        <f t="shared" si="33"/>
        <v>0</v>
      </c>
      <c r="P72" s="23">
        <f t="shared" si="33"/>
        <v>0</v>
      </c>
      <c r="Q72" s="23">
        <f t="shared" si="33"/>
        <v>0</v>
      </c>
      <c r="R72" s="23">
        <f t="shared" si="33"/>
        <v>0</v>
      </c>
      <c r="S72" s="23">
        <f t="shared" si="33"/>
        <v>0</v>
      </c>
      <c r="T72" s="23">
        <f t="shared" si="33"/>
        <v>0</v>
      </c>
      <c r="U72" s="23">
        <f t="shared" si="33"/>
        <v>0</v>
      </c>
      <c r="V72" s="23">
        <f t="shared" si="33"/>
        <v>0</v>
      </c>
      <c r="W72" s="23">
        <f t="shared" si="33"/>
        <v>0</v>
      </c>
    </row>
    <row r="73" spans="2:23" outlineLevel="1" x14ac:dyDescent="0.2">
      <c r="B73" s="70" t="s">
        <v>93</v>
      </c>
      <c r="C73" s="35"/>
      <c r="D73" s="35">
        <f>+D71-D72</f>
        <v>0</v>
      </c>
      <c r="E73" s="35">
        <f t="shared" ref="E73:T73" si="34">+E71-E72</f>
        <v>5.0000000001437783E-7</v>
      </c>
      <c r="F73" s="35">
        <f>+F71-F72</f>
        <v>1.2000000000345068E-6</v>
      </c>
      <c r="G73" s="35">
        <f t="shared" si="34"/>
        <v>-2.3000000000106269E-6</v>
      </c>
      <c r="H73" s="35">
        <f t="shared" si="34"/>
        <v>0</v>
      </c>
      <c r="I73" s="35">
        <f t="shared" si="34"/>
        <v>0</v>
      </c>
      <c r="J73" s="35">
        <f t="shared" si="34"/>
        <v>0</v>
      </c>
      <c r="K73" s="35">
        <f t="shared" si="34"/>
        <v>0</v>
      </c>
      <c r="L73" s="35">
        <f t="shared" si="34"/>
        <v>0</v>
      </c>
      <c r="M73" s="35">
        <f t="shared" si="34"/>
        <v>0</v>
      </c>
      <c r="N73" s="35">
        <f t="shared" si="34"/>
        <v>0</v>
      </c>
      <c r="O73" s="35">
        <f t="shared" si="34"/>
        <v>0</v>
      </c>
      <c r="P73" s="35">
        <f t="shared" si="34"/>
        <v>0</v>
      </c>
      <c r="Q73" s="35">
        <f t="shared" si="34"/>
        <v>0</v>
      </c>
      <c r="R73" s="35">
        <f t="shared" si="34"/>
        <v>0</v>
      </c>
      <c r="S73" s="35">
        <f t="shared" si="34"/>
        <v>0</v>
      </c>
      <c r="T73" s="35">
        <f t="shared" si="34"/>
        <v>0</v>
      </c>
      <c r="U73" s="35">
        <f t="shared" ref="U73:W73" si="35">+U71-U72</f>
        <v>0</v>
      </c>
      <c r="V73" s="35">
        <f t="shared" si="35"/>
        <v>0</v>
      </c>
      <c r="W73" s="35">
        <f t="shared" si="35"/>
        <v>0</v>
      </c>
    </row>
    <row r="74" spans="2:23" outlineLevel="1" x14ac:dyDescent="0.2">
      <c r="B74" s="64"/>
      <c r="C74" s="23"/>
      <c r="D74" s="23"/>
      <c r="E74" s="23"/>
      <c r="F74" s="23"/>
      <c r="G74" s="23"/>
      <c r="H74" s="23"/>
      <c r="I74" s="23"/>
      <c r="J74" s="23"/>
      <c r="K74" s="23"/>
      <c r="L74" s="23"/>
      <c r="M74" s="23"/>
      <c r="N74" s="23"/>
      <c r="O74" s="23"/>
      <c r="P74" s="23"/>
      <c r="Q74" s="23"/>
      <c r="R74" s="23"/>
      <c r="S74" s="23"/>
      <c r="T74" s="23"/>
      <c r="U74" s="23"/>
      <c r="V74" s="23"/>
      <c r="W74" s="23"/>
    </row>
    <row r="75" spans="2:23" ht="10.5" customHeight="1" outlineLevel="1" x14ac:dyDescent="0.2">
      <c r="B75" s="71" t="s">
        <v>94</v>
      </c>
    </row>
    <row r="76" spans="2:23" x14ac:dyDescent="0.2">
      <c r="B76" s="62" t="s">
        <v>19</v>
      </c>
      <c r="C76" s="62"/>
      <c r="D76" s="63">
        <f>D58-D67</f>
        <v>-9.3683868237058932E-2</v>
      </c>
      <c r="E76" s="63">
        <f t="shared" ref="E76:T76" si="36">E58-E67</f>
        <v>-0.34320279257575687</v>
      </c>
      <c r="F76" s="63">
        <f t="shared" si="36"/>
        <v>-1.9866626203999505</v>
      </c>
      <c r="G76" s="63">
        <f t="shared" si="36"/>
        <v>-2.1594660281313702</v>
      </c>
      <c r="H76" s="63">
        <f t="shared" si="36"/>
        <v>-2.104708701922803</v>
      </c>
      <c r="I76" s="63">
        <f t="shared" si="36"/>
        <v>-2.0588976168150364</v>
      </c>
      <c r="J76" s="63">
        <f t="shared" si="36"/>
        <v>-2.0438629991227146</v>
      </c>
      <c r="K76" s="63">
        <f t="shared" si="36"/>
        <v>-2.2679894930586366</v>
      </c>
      <c r="L76" s="63">
        <f t="shared" si="36"/>
        <v>-2.5133807497928995</v>
      </c>
      <c r="M76" s="63">
        <f t="shared" si="36"/>
        <v>-2.7855171673434249</v>
      </c>
      <c r="N76" s="63">
        <f t="shared" si="36"/>
        <v>-3.0584809725198561</v>
      </c>
      <c r="O76" s="63">
        <f t="shared" si="36"/>
        <v>-3.2954443853723516</v>
      </c>
      <c r="P76" s="63">
        <f t="shared" si="36"/>
        <v>-3.5298041924661749</v>
      </c>
      <c r="Q76" s="63">
        <f t="shared" si="36"/>
        <v>-3.7446311091987088</v>
      </c>
      <c r="R76" s="63">
        <f t="shared" si="36"/>
        <v>-3.9909163143784694</v>
      </c>
      <c r="S76" s="63">
        <f t="shared" si="36"/>
        <v>-4.2521316620994876</v>
      </c>
      <c r="T76" s="63">
        <f t="shared" si="36"/>
        <v>-4.4884324232037871</v>
      </c>
      <c r="U76" s="63">
        <f t="shared" ref="U76:W76" si="37">U58-U67</f>
        <v>-4.7329592790089778</v>
      </c>
      <c r="V76" s="63">
        <f t="shared" si="37"/>
        <v>-4.9703022585849244</v>
      </c>
      <c r="W76" s="63">
        <f t="shared" si="37"/>
        <v>-5.1782796438734007</v>
      </c>
    </row>
    <row r="77" spans="2:23" x14ac:dyDescent="0.2">
      <c r="B77" s="15" t="s">
        <v>20</v>
      </c>
      <c r="D77" s="23">
        <f>D59-D67-D63-D64-D65</f>
        <v>-1.1202903159572348</v>
      </c>
      <c r="E77" s="23">
        <f>E59-E67-E63-E64-E65</f>
        <v>-0.81560030818418672</v>
      </c>
      <c r="F77" s="23">
        <f t="shared" ref="F77:W77" si="38">F59-F67-F63-F64-F65</f>
        <v>-1.3419108083184965</v>
      </c>
      <c r="G77" s="23">
        <f t="shared" si="38"/>
        <v>-1.3910152280115167</v>
      </c>
      <c r="H77" s="23">
        <f t="shared" si="38"/>
        <v>-1.5924050504079867</v>
      </c>
      <c r="I77" s="23">
        <f t="shared" si="38"/>
        <v>-1.8881253883965905</v>
      </c>
      <c r="J77" s="23">
        <f t="shared" si="38"/>
        <v>-2.0438540989753671</v>
      </c>
      <c r="K77" s="23">
        <f t="shared" si="38"/>
        <v>-2.2679799942724319</v>
      </c>
      <c r="L77" s="23">
        <f t="shared" si="38"/>
        <v>-2.5133724486388718</v>
      </c>
      <c r="M77" s="23">
        <f t="shared" si="38"/>
        <v>-2.7855100642376298</v>
      </c>
      <c r="N77" s="23">
        <f t="shared" si="38"/>
        <v>-3.0584757867190664</v>
      </c>
      <c r="O77" s="23">
        <f t="shared" si="38"/>
        <v>-3.2954397986556736</v>
      </c>
      <c r="P77" s="23">
        <f t="shared" si="38"/>
        <v>-3.5298008035912467</v>
      </c>
      <c r="Q77" s="23">
        <f t="shared" si="38"/>
        <v>-3.7446283190815062</v>
      </c>
      <c r="R77" s="23">
        <f t="shared" si="38"/>
        <v>-3.9909129256666063</v>
      </c>
      <c r="S77" s="23">
        <f t="shared" si="38"/>
        <v>-4.2521264795519373</v>
      </c>
      <c r="T77" s="23">
        <f t="shared" si="38"/>
        <v>-4.488428435295849</v>
      </c>
      <c r="U77" s="23">
        <f t="shared" si="38"/>
        <v>-4.7329552911010468</v>
      </c>
      <c r="V77" s="23">
        <f t="shared" si="38"/>
        <v>-4.9702982706769872</v>
      </c>
      <c r="W77" s="23">
        <f t="shared" si="38"/>
        <v>-5.1782762510605318</v>
      </c>
    </row>
    <row r="78" spans="2:23" x14ac:dyDescent="0.2">
      <c r="B78" s="24" t="s">
        <v>95</v>
      </c>
      <c r="C78" s="24"/>
      <c r="D78" s="239">
        <f>'Input data'!D45</f>
        <v>7.7843692724171865</v>
      </c>
      <c r="E78" s="239">
        <f>'Input data'!E45</f>
        <v>7.6971736647214657</v>
      </c>
      <c r="F78" s="239">
        <f>'Input data'!F45</f>
        <v>6.6313654883524142</v>
      </c>
      <c r="G78" s="35">
        <f>'Input data'!G33+G41-(G$12-F$12)/'Input data'!$C$64*100</f>
        <v>3.9167889999999996</v>
      </c>
      <c r="H78" s="35">
        <f>'Input data'!H33+H41-(H$12-G$12)/'Input data'!$C$64*100</f>
        <v>3.7067224999999997</v>
      </c>
      <c r="I78" s="35">
        <f>'Input data'!I33+I41-(I$12-H$12)/'Input data'!$C$64*100</f>
        <v>3.4533160000000001</v>
      </c>
      <c r="J78" s="35">
        <f>'Input data'!J33+J41-(J$12-I$12)/'Input data'!$C$64*100</f>
        <v>3.4326905000000001</v>
      </c>
      <c r="K78" s="35">
        <f>'Input data'!K33+K41-(K$12-J$12)/'Input data'!$C$64*100</f>
        <v>3.4636039999999997</v>
      </c>
      <c r="L78" s="35">
        <f>'Input data'!L33+L41-(L$12-K$12)/'Input data'!$C$64*100</f>
        <v>3.4709364999999996</v>
      </c>
      <c r="M78" s="35">
        <f>'Input data'!M33+M41-(M$12-L$12)/'Input data'!$C$64*100</f>
        <v>3.4730976</v>
      </c>
      <c r="N78" s="35">
        <f>'Input data'!N33+N41-(N$12-M$12)/'Input data'!$C$64*100</f>
        <v>3.4878087999999998</v>
      </c>
      <c r="O78" s="35">
        <f>'Input data'!O33+O41-(O$12-N$12)/'Input data'!$C$64*100</f>
        <v>3.5374805999999999</v>
      </c>
      <c r="P78" s="35">
        <f>'Input data'!P33+P41-(P$12-O$12)/'Input data'!$C$64*100</f>
        <v>3.537506</v>
      </c>
      <c r="Q78" s="35">
        <f>'Input data'!Q33+Q41-(Q$12-P$12)/'Input data'!$C$64*100</f>
        <v>3.5375319999999997</v>
      </c>
      <c r="R78" s="35">
        <f>'Input data'!R33+R41-(R$12-Q$12)/'Input data'!$C$64*100</f>
        <v>3.5375579999999998</v>
      </c>
      <c r="S78" s="35">
        <f>'Input data'!S33+S41-(S$12-R$12)/'Input data'!$C$64*100</f>
        <v>3.6198299999999999</v>
      </c>
      <c r="T78" s="35">
        <f>'Input data'!T33+T41-(T$12-S$12)/'Input data'!$C$64*100</f>
        <v>3.6982679999999997</v>
      </c>
      <c r="U78" s="35">
        <f>'Input data'!U33+U41-(U$12-T$12)/'Input data'!$C$64*100</f>
        <v>3.8326529999999996</v>
      </c>
      <c r="V78" s="35">
        <f>'Input data'!V33+V41-(V$12-U$12)/'Input data'!$C$64*100</f>
        <v>3.9699210000000003</v>
      </c>
      <c r="W78" s="35">
        <f>'Input data'!W33+W41-(W$12-V$12)/'Input data'!$C$64*100</f>
        <v>3.9944220000000001</v>
      </c>
    </row>
    <row r="79" spans="2:23" x14ac:dyDescent="0.2">
      <c r="D79" s="23"/>
      <c r="E79" s="23"/>
      <c r="F79" s="23"/>
      <c r="G79" s="23"/>
      <c r="H79" s="23"/>
      <c r="I79" s="23"/>
      <c r="J79" s="23"/>
      <c r="K79" s="23"/>
      <c r="L79" s="23"/>
      <c r="M79" s="23"/>
      <c r="N79" s="23"/>
      <c r="O79" s="23"/>
      <c r="P79" s="23"/>
      <c r="Q79" s="23"/>
      <c r="R79" s="23"/>
      <c r="S79" s="23"/>
      <c r="T79" s="23"/>
      <c r="U79" s="23"/>
      <c r="V79" s="23"/>
      <c r="W79" s="23"/>
    </row>
    <row r="80" spans="2:23" x14ac:dyDescent="0.2">
      <c r="D80" s="38"/>
    </row>
    <row r="81" spans="2:23" s="72" customFormat="1" ht="12.75" outlineLevel="1" x14ac:dyDescent="0.2">
      <c r="B81" s="73" t="s">
        <v>96</v>
      </c>
      <c r="C81" s="74"/>
      <c r="E81" s="75"/>
      <c r="F81" s="74"/>
    </row>
    <row r="82" spans="2:23" x14ac:dyDescent="0.2">
      <c r="C82" s="23"/>
      <c r="D82" s="23"/>
      <c r="E82" s="23"/>
      <c r="F82" s="23"/>
      <c r="G82" s="23"/>
      <c r="H82" s="23"/>
      <c r="I82" s="23"/>
      <c r="J82" s="23"/>
      <c r="K82" s="23"/>
      <c r="L82" s="23"/>
      <c r="M82" s="23"/>
      <c r="N82" s="23"/>
      <c r="O82" s="23"/>
      <c r="P82" s="23"/>
      <c r="Q82" s="23"/>
      <c r="R82" s="23"/>
      <c r="S82" s="23"/>
      <c r="T82" s="23"/>
      <c r="U82" s="23"/>
      <c r="V82" s="23"/>
      <c r="W82" s="23"/>
    </row>
    <row r="83" spans="2:23" x14ac:dyDescent="0.2">
      <c r="B83" s="15" t="s">
        <v>97</v>
      </c>
      <c r="D83" s="18">
        <f t="shared" ref="D83:W83" si="39">IF((D87-C87*D42/((1+D23/100)*(1+D41/100)))&gt;0,1,0)</f>
        <v>1</v>
      </c>
      <c r="E83" s="18">
        <f t="shared" si="39"/>
        <v>1</v>
      </c>
      <c r="F83" s="18">
        <f t="shared" si="39"/>
        <v>1</v>
      </c>
      <c r="G83" s="18">
        <f t="shared" si="39"/>
        <v>1</v>
      </c>
      <c r="H83" s="18">
        <f t="shared" si="39"/>
        <v>1</v>
      </c>
      <c r="I83" s="18">
        <f t="shared" si="39"/>
        <v>1</v>
      </c>
      <c r="J83" s="18">
        <f t="shared" si="39"/>
        <v>1</v>
      </c>
      <c r="K83" s="18">
        <f t="shared" si="39"/>
        <v>1</v>
      </c>
      <c r="L83" s="18">
        <f t="shared" si="39"/>
        <v>1</v>
      </c>
      <c r="M83" s="18">
        <f t="shared" si="39"/>
        <v>1</v>
      </c>
      <c r="N83" s="18">
        <f t="shared" si="39"/>
        <v>1</v>
      </c>
      <c r="O83" s="18">
        <f t="shared" si="39"/>
        <v>1</v>
      </c>
      <c r="P83" s="18">
        <f t="shared" si="39"/>
        <v>1</v>
      </c>
      <c r="Q83" s="18">
        <f t="shared" si="39"/>
        <v>1</v>
      </c>
      <c r="R83" s="18">
        <f t="shared" si="39"/>
        <v>1</v>
      </c>
      <c r="S83" s="18">
        <f t="shared" si="39"/>
        <v>1</v>
      </c>
      <c r="T83" s="18">
        <f t="shared" si="39"/>
        <v>1</v>
      </c>
      <c r="U83" s="18">
        <f t="shared" si="39"/>
        <v>1</v>
      </c>
      <c r="V83" s="18">
        <f t="shared" si="39"/>
        <v>1</v>
      </c>
      <c r="W83" s="18">
        <f t="shared" si="39"/>
        <v>1</v>
      </c>
    </row>
    <row r="84" spans="2:23" x14ac:dyDescent="0.2">
      <c r="B84" s="15" t="s">
        <v>98</v>
      </c>
      <c r="D84" s="18">
        <f t="shared" ref="D84:W84" si="40">IF(AND(D83=0,ABS(D87-C87*D42/((1+D23/100)*(1+D41/100)))&lt;((C93*C87*D42/((1+D23/100)*(1+D41/100))+(D38*C87*C94*D42/((1+D23/100)*(1+D41/100)))))),1,0)</f>
        <v>0</v>
      </c>
      <c r="E84" s="18">
        <f t="shared" si="40"/>
        <v>0</v>
      </c>
      <c r="F84" s="18">
        <f t="shared" si="40"/>
        <v>0</v>
      </c>
      <c r="G84" s="18">
        <f t="shared" si="40"/>
        <v>0</v>
      </c>
      <c r="H84" s="18">
        <f t="shared" si="40"/>
        <v>0</v>
      </c>
      <c r="I84" s="18">
        <f t="shared" si="40"/>
        <v>0</v>
      </c>
      <c r="J84" s="18">
        <f t="shared" si="40"/>
        <v>0</v>
      </c>
      <c r="K84" s="18">
        <f t="shared" si="40"/>
        <v>0</v>
      </c>
      <c r="L84" s="18">
        <f t="shared" si="40"/>
        <v>0</v>
      </c>
      <c r="M84" s="18">
        <f t="shared" si="40"/>
        <v>0</v>
      </c>
      <c r="N84" s="18">
        <f t="shared" si="40"/>
        <v>0</v>
      </c>
      <c r="O84" s="18">
        <f t="shared" si="40"/>
        <v>0</v>
      </c>
      <c r="P84" s="18">
        <f t="shared" si="40"/>
        <v>0</v>
      </c>
      <c r="Q84" s="18">
        <f t="shared" si="40"/>
        <v>0</v>
      </c>
      <c r="R84" s="18">
        <f t="shared" si="40"/>
        <v>0</v>
      </c>
      <c r="S84" s="18">
        <f t="shared" si="40"/>
        <v>0</v>
      </c>
      <c r="T84" s="18">
        <f t="shared" si="40"/>
        <v>0</v>
      </c>
      <c r="U84" s="18">
        <f t="shared" si="40"/>
        <v>0</v>
      </c>
      <c r="V84" s="18">
        <f t="shared" si="40"/>
        <v>0</v>
      </c>
      <c r="W84" s="18">
        <f t="shared" si="40"/>
        <v>0</v>
      </c>
    </row>
    <row r="86" spans="2:23" x14ac:dyDescent="0.2">
      <c r="B86" s="37"/>
      <c r="C86" s="67">
        <v>2021</v>
      </c>
      <c r="D86" s="67">
        <v>2022</v>
      </c>
      <c r="E86" s="67">
        <v>2023</v>
      </c>
      <c r="F86" s="67">
        <v>2024</v>
      </c>
      <c r="G86" s="67">
        <v>2025</v>
      </c>
      <c r="H86" s="67">
        <v>2026</v>
      </c>
      <c r="I86" s="67">
        <v>2027</v>
      </c>
      <c r="J86" s="67">
        <v>2028</v>
      </c>
      <c r="K86" s="67">
        <v>2029</v>
      </c>
      <c r="L86" s="67">
        <v>2030</v>
      </c>
      <c r="M86" s="67">
        <v>2031</v>
      </c>
      <c r="N86" s="67">
        <v>2032</v>
      </c>
      <c r="O86" s="67">
        <v>2033</v>
      </c>
      <c r="P86" s="67">
        <v>2034</v>
      </c>
      <c r="Q86" s="67">
        <v>2035</v>
      </c>
      <c r="R86" s="67">
        <v>2036</v>
      </c>
      <c r="S86" s="67">
        <v>2037</v>
      </c>
      <c r="T86" s="67">
        <v>2038</v>
      </c>
      <c r="U86" s="67">
        <v>2039</v>
      </c>
      <c r="V86" s="67">
        <v>2040</v>
      </c>
      <c r="W86" s="67">
        <v>2041</v>
      </c>
    </row>
    <row r="87" spans="2:23" x14ac:dyDescent="0.2">
      <c r="B87" s="84" t="s">
        <v>76</v>
      </c>
      <c r="C87" s="88">
        <f>C56</f>
        <v>51.650089999999999</v>
      </c>
      <c r="D87" s="88">
        <f>D56</f>
        <v>50.132855552279821</v>
      </c>
      <c r="E87" s="88">
        <f>E56</f>
        <v>46.482690336671389</v>
      </c>
      <c r="F87" s="88">
        <f>F56</f>
        <v>47.061224448752846</v>
      </c>
      <c r="G87" s="88">
        <f>G56</f>
        <v>48.424295148872702</v>
      </c>
      <c r="H87" s="88">
        <f t="shared" ref="H87:W87" si="41">G87*(1+H101/100)*H42-H59-H60+H61+H62+H63+H64+H65+H71</f>
        <v>48.58428133179369</v>
      </c>
      <c r="I87" s="88">
        <f t="shared" si="41"/>
        <v>48.743724125324142</v>
      </c>
      <c r="J87" s="88">
        <f t="shared" si="41"/>
        <v>49.025404624960366</v>
      </c>
      <c r="K87" s="88">
        <f t="shared" si="41"/>
        <v>49.640511925899254</v>
      </c>
      <c r="L87" s="88">
        <f t="shared" si="41"/>
        <v>50.477027080752755</v>
      </c>
      <c r="M87" s="88">
        <f t="shared" si="41"/>
        <v>51.556630657020882</v>
      </c>
      <c r="N87" s="88">
        <f t="shared" si="41"/>
        <v>52.865725407327616</v>
      </c>
      <c r="O87" s="88">
        <f t="shared" si="41"/>
        <v>54.342534322998993</v>
      </c>
      <c r="P87" s="88">
        <f t="shared" si="41"/>
        <v>56.0026716986726</v>
      </c>
      <c r="Q87" s="88">
        <f t="shared" si="41"/>
        <v>57.820292706308138</v>
      </c>
      <c r="R87" s="88">
        <f t="shared" si="41"/>
        <v>59.821431427739107</v>
      </c>
      <c r="S87" s="88">
        <f t="shared" si="41"/>
        <v>61.967742773165519</v>
      </c>
      <c r="T87" s="88">
        <f t="shared" si="41"/>
        <v>64.228302666543669</v>
      </c>
      <c r="U87" s="88">
        <f t="shared" si="41"/>
        <v>66.569915823758393</v>
      </c>
      <c r="V87" s="88">
        <f t="shared" si="41"/>
        <v>68.974953995748081</v>
      </c>
      <c r="W87" s="88">
        <f t="shared" si="41"/>
        <v>71.479182919606274</v>
      </c>
    </row>
    <row r="88" spans="2:23" x14ac:dyDescent="0.2">
      <c r="B88" s="15" t="s">
        <v>99</v>
      </c>
      <c r="C88" s="23"/>
      <c r="D88" s="181">
        <f>'Input data'!C66*$D$87</f>
        <v>39.329266510759851</v>
      </c>
      <c r="E88" s="23">
        <f t="shared" ref="E88:W88" si="42">IF(E87=0,0,IF(E83=1,D87*E42/((1+E23/100)*(1+E41/100))-E89-E90,IF(AND(E83=0,E84=1),(1-D93-E38*D94)*D87*E42/((1+E23/100)*(1+E41/100)),E87)))</f>
        <v>38.964118820558589</v>
      </c>
      <c r="F88" s="23">
        <f t="shared" si="42"/>
        <v>37.312197728032551</v>
      </c>
      <c r="G88" s="23">
        <f t="shared" si="42"/>
        <v>38.021372011051291</v>
      </c>
      <c r="H88" s="23">
        <f t="shared" si="42"/>
        <v>38.916438197131072</v>
      </c>
      <c r="I88" s="23">
        <f t="shared" si="42"/>
        <v>39.051581330036399</v>
      </c>
      <c r="J88" s="23">
        <f t="shared" si="42"/>
        <v>39.263169468470032</v>
      </c>
      <c r="K88" s="23">
        <f t="shared" si="42"/>
        <v>39.553256978534172</v>
      </c>
      <c r="L88" s="23">
        <f t="shared" si="42"/>
        <v>40.009480923426906</v>
      </c>
      <c r="M88" s="23">
        <f t="shared" si="42"/>
        <v>40.644903708261978</v>
      </c>
      <c r="N88" s="23">
        <f t="shared" si="42"/>
        <v>41.469304175685032</v>
      </c>
      <c r="O88" s="23">
        <f t="shared" si="42"/>
        <v>42.4614714652432</v>
      </c>
      <c r="P88" s="23">
        <f t="shared" si="42"/>
        <v>43.642102990790676</v>
      </c>
      <c r="Q88" s="23">
        <f t="shared" si="42"/>
        <v>44.969782451818439</v>
      </c>
      <c r="R88" s="23">
        <f t="shared" si="42"/>
        <v>46.423788759989264</v>
      </c>
      <c r="S88" s="23">
        <f t="shared" si="42"/>
        <v>47.985947097012023</v>
      </c>
      <c r="T88" s="23">
        <f t="shared" si="42"/>
        <v>49.663668740238961</v>
      </c>
      <c r="U88" s="23">
        <f t="shared" si="42"/>
        <v>51.401850799470893</v>
      </c>
      <c r="V88" s="23">
        <f t="shared" si="42"/>
        <v>53.198656903843272</v>
      </c>
      <c r="W88" s="23">
        <f t="shared" si="42"/>
        <v>55.10226864583268</v>
      </c>
    </row>
    <row r="89" spans="2:23" x14ac:dyDescent="0.2">
      <c r="B89" s="83" t="s">
        <v>100</v>
      </c>
      <c r="C89" s="23"/>
      <c r="D89" s="181">
        <f>'Input data'!C67*$D$87</f>
        <v>3.8609486574617775</v>
      </c>
      <c r="E89" s="23">
        <f t="shared" ref="E89:W89" si="43">IF(E87=0,0,IF(E83=1,E38*D87*D94*E42/((1+E23/100)*(1+E41/100)),IF(AND(E83=0,E84=1),(E38*D87*D94*E42/((1+E23/100)*(1+E41/100)))*(1-ABS(E87-D87*E42/((1+E23/100)*(1+E41/100)))/((E38*D87*D94*E42/((1+E23/100)*(1+E41/100)))+(D93*D87*E42/((1+E23/100)*(1+E41/100))))),0)))</f>
        <v>3.8213719927815011</v>
      </c>
      <c r="F89" s="23">
        <f t="shared" si="43"/>
        <v>3.6353337164228705</v>
      </c>
      <c r="G89" s="23">
        <f t="shared" si="43"/>
        <v>3.738455376011955</v>
      </c>
      <c r="H89" s="23">
        <f t="shared" si="43"/>
        <v>3.8613474179279614</v>
      </c>
      <c r="I89" s="23">
        <f t="shared" si="43"/>
        <v>3.9098194163436872</v>
      </c>
      <c r="J89" s="23">
        <f t="shared" si="43"/>
        <v>3.9663139937160632</v>
      </c>
      <c r="K89" s="23">
        <f t="shared" si="43"/>
        <v>4.0312478519536761</v>
      </c>
      <c r="L89" s="23">
        <f t="shared" si="43"/>
        <v>4.1138455506175227</v>
      </c>
      <c r="M89" s="23">
        <f t="shared" si="43"/>
        <v>4.2159138635611759</v>
      </c>
      <c r="N89" s="23">
        <f t="shared" si="43"/>
        <v>4.3389647837257401</v>
      </c>
      <c r="O89" s="23">
        <f t="shared" si="43"/>
        <v>4.4812768006031876</v>
      </c>
      <c r="P89" s="23">
        <f t="shared" si="43"/>
        <v>4.6058776795394563</v>
      </c>
      <c r="Q89" s="23">
        <f t="shared" si="43"/>
        <v>4.745997627389384</v>
      </c>
      <c r="R89" s="23">
        <f t="shared" si="43"/>
        <v>4.8994497926557266</v>
      </c>
      <c r="S89" s="23">
        <f t="shared" si="43"/>
        <v>5.064316050771609</v>
      </c>
      <c r="T89" s="23">
        <f t="shared" si="43"/>
        <v>5.2413785692907053</v>
      </c>
      <c r="U89" s="23">
        <f t="shared" si="43"/>
        <v>5.4248219279043308</v>
      </c>
      <c r="V89" s="23">
        <f t="shared" si="43"/>
        <v>5.6144523206545447</v>
      </c>
      <c r="W89" s="23">
        <f t="shared" si="43"/>
        <v>5.8153547115129411</v>
      </c>
    </row>
    <row r="90" spans="2:23" x14ac:dyDescent="0.2">
      <c r="B90" s="83" t="s">
        <v>101</v>
      </c>
      <c r="C90" s="23"/>
      <c r="D90" s="181">
        <f>'Input data'!C68*$D$87</f>
        <v>3.7201656699518564</v>
      </c>
      <c r="E90" s="23">
        <f t="shared" ref="E90:W90" si="44">IF(E87=0,0,IF(E83=1,(1-D94)*D87*E42/((1+E23/100)*(1+E41/100)),IF(AND(E83=0,E84=1),(D93*D87*E42/((1+E23/100)*(1+E41/100)))*(1-ABS(E87-D87*E42/((1+E23/100)*(1+E41/100)))/((E38*D87*D94*E42/((1+E23/100)*(1+E41/100)))+(D93*D87*E42/((1+E23/100)*(1+E41/100))))),0)))</f>
        <v>3.6853038352380172</v>
      </c>
      <c r="F90" s="23">
        <f t="shared" si="44"/>
        <v>3.527028798127084</v>
      </c>
      <c r="G90" s="23">
        <f t="shared" si="44"/>
        <v>3.6049999424641177</v>
      </c>
      <c r="H90" s="23">
        <f t="shared" si="44"/>
        <v>3.7017870148118583</v>
      </c>
      <c r="I90" s="23">
        <f t="shared" si="44"/>
        <v>3.723425762129029</v>
      </c>
      <c r="J90" s="23">
        <f t="shared" si="44"/>
        <v>3.7520581636515535</v>
      </c>
      <c r="K90" s="23">
        <f t="shared" si="44"/>
        <v>3.7880176023527734</v>
      </c>
      <c r="L90" s="23">
        <f t="shared" si="44"/>
        <v>3.8403198569154156</v>
      </c>
      <c r="M90" s="23">
        <f t="shared" si="44"/>
        <v>3.9102959178543149</v>
      </c>
      <c r="N90" s="23">
        <f t="shared" si="44"/>
        <v>3.9989754753969837</v>
      </c>
      <c r="O90" s="23">
        <f t="shared" si="44"/>
        <v>4.104341671780257</v>
      </c>
      <c r="P90" s="23">
        <f t="shared" si="44"/>
        <v>4.2248868358762985</v>
      </c>
      <c r="Q90" s="23">
        <f t="shared" si="44"/>
        <v>4.3598815179016102</v>
      </c>
      <c r="R90" s="23">
        <f t="shared" si="44"/>
        <v>4.5072765607156491</v>
      </c>
      <c r="S90" s="23">
        <f t="shared" si="44"/>
        <v>4.6653479632823931</v>
      </c>
      <c r="T90" s="23">
        <f t="shared" si="44"/>
        <v>4.8348229338102247</v>
      </c>
      <c r="U90" s="23">
        <f t="shared" si="44"/>
        <v>5.0102838173741917</v>
      </c>
      <c r="V90" s="23">
        <f t="shared" si="44"/>
        <v>5.1915425126653556</v>
      </c>
      <c r="W90" s="23">
        <f t="shared" si="44"/>
        <v>5.3832799183872577</v>
      </c>
    </row>
    <row r="91" spans="2:23" x14ac:dyDescent="0.2">
      <c r="B91" s="83" t="s">
        <v>102</v>
      </c>
      <c r="C91" s="23"/>
      <c r="D91" s="181">
        <f>'Input data'!C69*$D$87</f>
        <v>2.9669217367786547</v>
      </c>
      <c r="E91" s="23">
        <f>IF(E87=0,0,IF(E83=1,'Input data'!$C$58*(E87-D87*E42/((1+E23/100)*(1+E41/100))),0))</f>
        <v>1.0917151169866962E-2</v>
      </c>
      <c r="F91" s="23">
        <f>IF(F87=0,0,IF(F83=1,'Input data'!$C$58*(F87-E87*F42/((1+F23/100)*(1+F41/100))),0))</f>
        <v>2.3738857259036092</v>
      </c>
      <c r="G91" s="23">
        <f>IF(G87=0,0,IF(G83=1,'Input data'!$C$58*(G87-F87*G42/((1+G23/100)*(1+G41/100))),0))</f>
        <v>2.8077966084195527</v>
      </c>
      <c r="H91" s="23">
        <f>IF(H87=0,0,IF(H83=1,'Input data'!$C$58*(H87-G87*H42/((1+H23/100)*(1+H41/100))),0))</f>
        <v>1.9315757850443735</v>
      </c>
      <c r="I91" s="23">
        <f>IF(I87=0,0,IF(I83=1,'Input data'!$C$58*(I87-H87*I42/((1+I23/100)*(1+I41/100))),0))</f>
        <v>1.8895331106353499</v>
      </c>
      <c r="J91" s="23">
        <f>IF(J87=0,0,IF(J83=1,'Input data'!$C$58*(J87-I87*J42/((1+J23/100)*(1+J41/100))),0))</f>
        <v>1.8757352375874812</v>
      </c>
      <c r="K91" s="23">
        <f>IF(K87=0,0,IF(K83=1,'Input data'!$C$58*(K87-J87*K42/((1+K23/100)*(1+K41/100))),0))</f>
        <v>2.0814251309575309</v>
      </c>
      <c r="L91" s="23">
        <f>IF(L87=0,0,IF(L83=1,'Input data'!$C$58*(L87-K87*L42/((1+L23/100)*(1+L41/100))),0))</f>
        <v>2.3066305519910939</v>
      </c>
      <c r="M91" s="23">
        <f>IF(M87=0,0,IF(M83=1,'Input data'!$C$58*(M87-L87*M42/((1+M23/100)*(1+M41/100))),0))</f>
        <v>2.5563810822611783</v>
      </c>
      <c r="N91" s="23">
        <f>IF(N87=0,0,IF(N83=1,'Input data'!$C$58*(N87-M87*N42/((1+N23/100)*(1+N41/100))),0))</f>
        <v>2.8068909394165704</v>
      </c>
      <c r="O91" s="23">
        <f>IF(O87=0,0,IF(O83=1,'Input data'!$C$58*(O87-N87*O42/((1+O23/100)*(1+O41/100))),0))</f>
        <v>3.0243617893204968</v>
      </c>
      <c r="P91" s="23">
        <f>IF(P87=0,0,IF(P83=1,'Input data'!$C$58*(P87-O87*P42/((1+P23/100)*(1+P41/100))),0))</f>
        <v>3.2394432055547444</v>
      </c>
      <c r="Q91" s="23">
        <f>IF(Q87=0,0,IF(Q83=1,'Input data'!$C$58*(Q87-P87*Q42/((1+Q23/100)*(1+Q41/100))),0))</f>
        <v>3.4365985030822368</v>
      </c>
      <c r="R91" s="23">
        <f>IF(R87=0,0,IF(R83=1,'Input data'!$C$58*(R87-Q87*R42/((1+R23/100)*(1+R41/100))),0))</f>
        <v>3.662624336540957</v>
      </c>
      <c r="S91" s="23">
        <f>IF(S87=0,0,IF(S83=1,'Input data'!$C$58*(S87-R87*S42/((1+S23/100)*(1+S41/100))),0))</f>
        <v>3.902352162001522</v>
      </c>
      <c r="T91" s="23">
        <f>IF(T87=0,0,IF(T83=1,'Input data'!$C$58*(T87-S87*T42/((1+T23/100)*(1+T41/100))),0))</f>
        <v>4.1192148697575242</v>
      </c>
      <c r="U91" s="23">
        <f>IF(U87=0,0,IF(U83=1,'Input data'!$C$58*(U87-T87*U42/((1+U23/100)*(1+U41/100))),0))</f>
        <v>4.3436269953095508</v>
      </c>
      <c r="V91" s="23">
        <f>IF(V87=0,0,IF(V83=1,'Input data'!$C$58*(V87-U87*V42/((1+V23/100)*(1+V41/100))),0))</f>
        <v>4.5614461888541653</v>
      </c>
      <c r="W91" s="23">
        <f>IF(W87=0,0,IF(W83=1,'Input data'!$C$58*(W87-V87*W42/((1+W23/100)*(1+W41/100))),0))</f>
        <v>4.752315396024299</v>
      </c>
    </row>
    <row r="92" spans="2:23" x14ac:dyDescent="0.2">
      <c r="B92" s="85" t="s">
        <v>103</v>
      </c>
      <c r="C92" s="35"/>
      <c r="D92" s="182">
        <f>'Input data'!C70*$D$87</f>
        <v>0.25555417732757374</v>
      </c>
      <c r="E92" s="35">
        <f>IF(E87=0,0,IF(E83=1,'Input data'!$C$57*(E87-D87*E42/((1+E23/100)*(1+E41/100))),0))</f>
        <v>9.7853692341582331E-4</v>
      </c>
      <c r="F92" s="35">
        <f>IF(F87=0,0,IF(F83=1,'Input data'!$C$57*(F87-E87*F42/((1+F23/100)*(1+F41/100))),0))</f>
        <v>0.21277848026673093</v>
      </c>
      <c r="G92" s="35">
        <f>IF(G87=0,0,IF(G83=1,'Input data'!$C$57*(G87-F87*G42/((1+G23/100)*(1+G41/100))),0))</f>
        <v>0.25167121092578348</v>
      </c>
      <c r="H92" s="35">
        <f>IF(H87=0,0,IF(H83=1,'Input data'!$C$57*(H87-G87*H42/((1+H23/100)*(1+H41/100))),0))</f>
        <v>0.17313291687842938</v>
      </c>
      <c r="I92" s="35">
        <f>IF(I87=0,0,IF(I83=1,'Input data'!$C$57*(I87-H87*I42/((1+I23/100)*(1+I41/100))),0))</f>
        <v>0.16936450617968107</v>
      </c>
      <c r="J92" s="35">
        <f>IF(J87=0,0,IF(J83=1,'Input data'!$C$57*(J87-I87*J42/((1+J23/100)*(1+J41/100))),0))</f>
        <v>0.16812776153523479</v>
      </c>
      <c r="K92" s="35">
        <f>IF(K87=0,0,IF(K83=1,'Input data'!$C$57*(K87-J87*K42/((1+K23/100)*(1+K41/100))),0))</f>
        <v>0.18656436210110475</v>
      </c>
      <c r="L92" s="35">
        <f>IF(L87=0,0,IF(L83=1,'Input data'!$C$57*(L87-K87*L42/((1+L23/100)*(1+L41/100))),0))</f>
        <v>0.20675019780181467</v>
      </c>
      <c r="M92" s="35">
        <f>IF(M87=0,0,IF(M83=1,'Input data'!$C$57*(M87-L87*M42/((1+M23/100)*(1+M41/100))),0))</f>
        <v>0.22913608508223576</v>
      </c>
      <c r="N92" s="35">
        <f>IF(N87=0,0,IF(N83=1,'Input data'!$C$57*(N87-M87*N42/((1+N23/100)*(1+N41/100))),0))</f>
        <v>0.25159003310328915</v>
      </c>
      <c r="O92" s="35">
        <f>IF(O87=0,0,IF(O83=1,'Input data'!$C$57*(O87-N87*O42/((1+O23/100)*(1+O41/100))),0))</f>
        <v>0.27108259605185231</v>
      </c>
      <c r="P92" s="35">
        <f>IF(P87=0,0,IF(P83=1,'Input data'!$C$57*(P87-O87*P42/((1+P23/100)*(1+P41/100))),0))</f>
        <v>0.29036098691142886</v>
      </c>
      <c r="Q92" s="35">
        <f>IF(Q87=0,0,IF(Q83=1,'Input data'!$C$57*(Q87-P87*Q42/((1+Q23/100)*(1+Q41/100))),0))</f>
        <v>0.30803260611646321</v>
      </c>
      <c r="R92" s="35">
        <f>IF(R87=0,0,IF(R83=1,'Input data'!$C$57*(R87-Q87*R42/((1+R23/100)*(1+R41/100))),0))</f>
        <v>0.3282919778375098</v>
      </c>
      <c r="S92" s="35">
        <f>IF(S87=0,0,IF(S83=1,'Input data'!$C$57*(S87-R87*S42/((1+S23/100)*(1+S41/100))),0))</f>
        <v>0.34977950009797193</v>
      </c>
      <c r="T92" s="35">
        <f>IF(T87=0,0,IF(T83=1,'Input data'!$C$57*(T87-S87*T42/((1+T23/100)*(1+T41/100))),0))</f>
        <v>0.36921755344625851</v>
      </c>
      <c r="U92" s="35">
        <f>IF(U87=0,0,IF(U83=1,'Input data'!$C$57*(U87-T87*U42/((1+U23/100)*(1+U41/100))),0))</f>
        <v>0.3893322836994223</v>
      </c>
      <c r="V92" s="35">
        <f>IF(V87=0,0,IF(V83=1,'Input data'!$C$57*(V87-U87*V42/((1+V23/100)*(1+V41/100))),0))</f>
        <v>0.40885606973074284</v>
      </c>
      <c r="W92" s="35">
        <f>IF(W87=0,0,IF(W83=1,'Input data'!$C$57*(W87-V87*W42/((1+W23/100)*(1+W41/100))),0))</f>
        <v>0.4259642478490967</v>
      </c>
    </row>
    <row r="93" spans="2:23" x14ac:dyDescent="0.2">
      <c r="B93" s="15" t="s">
        <v>51</v>
      </c>
      <c r="C93" s="25"/>
      <c r="D93" s="25">
        <f>1-D94</f>
        <v>7.9303654329715201E-2</v>
      </c>
      <c r="E93" s="25">
        <f>IF(E87&lt;&gt;0,(E90+E92)/(E88+E89+E90+E91+E92),0)</f>
        <v>7.9304410856211358E-2</v>
      </c>
      <c r="F93" s="25">
        <f t="shared" ref="F93" si="45">IF(F87&lt;&gt;0,(F90+F92)/(F88+F89+F90+F91+F92),0)</f>
        <v>7.9466850304038841E-2</v>
      </c>
      <c r="G93" s="25">
        <f>IF(G87&lt;&gt;0,(G90+G92)/(G88+G89+G90+G91+G92),0)</f>
        <v>7.9643310068493234E-2</v>
      </c>
      <c r="H93" s="25">
        <f>IF(H87&lt;&gt;0,(H90+H92)/(H88+H89+H90+H91+H92),0)</f>
        <v>7.9756658439126257E-2</v>
      </c>
      <c r="I93" s="25">
        <f t="shared" ref="I93:W93" si="46">IF(I87&lt;&gt;0,(I90+I92)/(I88+I89+I90+I91+I92),0)</f>
        <v>7.9862389223688046E-2</v>
      </c>
      <c r="J93" s="25">
        <f t="shared" si="46"/>
        <v>7.9962336979691129E-2</v>
      </c>
      <c r="K93" s="25">
        <f t="shared" si="46"/>
        <v>8.0067304108122919E-2</v>
      </c>
      <c r="L93" s="25">
        <f t="shared" si="46"/>
        <v>8.0176474106582366E-2</v>
      </c>
      <c r="M93" s="25">
        <f>IF(M87&lt;&gt;0,(M90+M92)/(M88+M89+M90+M91+M92),0)</f>
        <v>8.0289032665342555E-2</v>
      </c>
      <c r="N93" s="25">
        <f t="shared" si="46"/>
        <v>8.0403048965088264E-2</v>
      </c>
      <c r="O93" s="25">
        <f t="shared" si="46"/>
        <v>8.0515646212332245E-2</v>
      </c>
      <c r="P93" s="25">
        <f t="shared" si="46"/>
        <v>8.0625578848852492E-2</v>
      </c>
      <c r="Q93" s="25">
        <f t="shared" si="46"/>
        <v>8.0731416351145668E-2</v>
      </c>
      <c r="R93" s="25">
        <f t="shared" si="46"/>
        <v>8.0833380665493615E-2</v>
      </c>
      <c r="S93" s="25">
        <f t="shared" si="46"/>
        <v>8.0931259376969156E-2</v>
      </c>
      <c r="T93" s="25">
        <f t="shared" si="46"/>
        <v>8.102410107697354E-2</v>
      </c>
      <c r="U93" s="25">
        <f t="shared" si="46"/>
        <v>8.1111956268187513E-2</v>
      </c>
      <c r="V93" s="25">
        <f t="shared" si="46"/>
        <v>8.1194669339559572E-2</v>
      </c>
      <c r="W93" s="25">
        <f t="shared" si="46"/>
        <v>8.1271832286752624E-2</v>
      </c>
    </row>
    <row r="94" spans="2:23" x14ac:dyDescent="0.2">
      <c r="B94" s="24" t="s">
        <v>52</v>
      </c>
      <c r="C94" s="86"/>
      <c r="D94" s="86">
        <f>(D88+D89+D91)/D87</f>
        <v>0.9206963456702848</v>
      </c>
      <c r="E94" s="86">
        <f t="shared" ref="E94:F94" si="47">IF(E87&lt;&gt;0,(E88+E89+E91)/(E88+E89+E90+E91+E92),1)</f>
        <v>0.92069558914378868</v>
      </c>
      <c r="F94" s="86">
        <f t="shared" si="47"/>
        <v>0.92053314969596123</v>
      </c>
      <c r="G94" s="86">
        <f>IF(G87&lt;&gt;0,(G88+G89+G91)/(G88+G89+G90+G91+G92),1)</f>
        <v>0.92035668993150677</v>
      </c>
      <c r="H94" s="86">
        <f>IF(H87&lt;&gt;0,(H88+H89+H91)/(H88+H89+H90+H91+H92),1)</f>
        <v>0.92024334156087373</v>
      </c>
      <c r="I94" s="86">
        <f t="shared" ref="I94:W94" si="48">IF(I87&lt;&gt;0,(I88+I89+I91)/(I88+I89+I90+I91+I92),1)</f>
        <v>0.92013761077631184</v>
      </c>
      <c r="J94" s="86">
        <f t="shared" si="48"/>
        <v>0.92003766302030898</v>
      </c>
      <c r="K94" s="86">
        <f t="shared" si="48"/>
        <v>0.91993269589187709</v>
      </c>
      <c r="L94" s="86">
        <f t="shared" si="48"/>
        <v>0.91982352589341765</v>
      </c>
      <c r="M94" s="86">
        <f t="shared" si="48"/>
        <v>0.9197109673346574</v>
      </c>
      <c r="N94" s="86">
        <f t="shared" si="48"/>
        <v>0.91959695103491179</v>
      </c>
      <c r="O94" s="86">
        <f t="shared" si="48"/>
        <v>0.9194843537876678</v>
      </c>
      <c r="P94" s="86">
        <f t="shared" si="48"/>
        <v>0.91937442115114754</v>
      </c>
      <c r="Q94" s="86">
        <f t="shared" si="48"/>
        <v>0.91926858364885433</v>
      </c>
      <c r="R94" s="86">
        <f t="shared" si="48"/>
        <v>0.91916661933450639</v>
      </c>
      <c r="S94" s="86">
        <f t="shared" si="48"/>
        <v>0.91906874062303079</v>
      </c>
      <c r="T94" s="86">
        <f t="shared" si="48"/>
        <v>0.91897589892302656</v>
      </c>
      <c r="U94" s="86">
        <f t="shared" si="48"/>
        <v>0.91888804373181243</v>
      </c>
      <c r="V94" s="86">
        <f t="shared" si="48"/>
        <v>0.91880533066044034</v>
      </c>
      <c r="W94" s="86">
        <f t="shared" si="48"/>
        <v>0.91872816771324739</v>
      </c>
    </row>
    <row r="95" spans="2:23" x14ac:dyDescent="0.2">
      <c r="C95" s="25"/>
      <c r="D95" s="25"/>
      <c r="E95" s="180"/>
      <c r="F95" s="180"/>
      <c r="G95" s="180"/>
      <c r="H95" s="25"/>
      <c r="I95" s="25"/>
      <c r="J95" s="25"/>
      <c r="K95" s="25"/>
      <c r="L95" s="25"/>
      <c r="M95" s="25"/>
      <c r="N95" s="25"/>
      <c r="O95" s="25"/>
      <c r="P95" s="25"/>
      <c r="Q95" s="25"/>
      <c r="R95" s="25"/>
      <c r="S95" s="25"/>
      <c r="T95" s="25"/>
      <c r="U95" s="25"/>
      <c r="V95" s="25"/>
      <c r="W95" s="25"/>
    </row>
    <row r="96" spans="2:23" x14ac:dyDescent="0.2">
      <c r="B96" s="90" t="s">
        <v>104</v>
      </c>
      <c r="C96" s="92">
        <f>C35</f>
        <v>1.082266</v>
      </c>
      <c r="D96" s="92">
        <f>D35</f>
        <v>1.1515390000000001</v>
      </c>
      <c r="E96" s="92">
        <f>E98+E99</f>
        <v>1.3576170000000001</v>
      </c>
      <c r="F96" s="92">
        <f>F98+F99</f>
        <v>1.5744320000000001</v>
      </c>
      <c r="G96" s="92">
        <f>G98+G99</f>
        <v>1.603952</v>
      </c>
      <c r="H96" s="92">
        <f>H98+H99</f>
        <v>1.7849194892872491</v>
      </c>
      <c r="I96" s="92">
        <f t="shared" ref="I96:W96" si="49">I98+I99</f>
        <v>1.9156487348916007</v>
      </c>
      <c r="J96" s="92">
        <f t="shared" si="49"/>
        <v>2.0300738672458607</v>
      </c>
      <c r="K96" s="92">
        <f t="shared" si="49"/>
        <v>2.1307476200015003</v>
      </c>
      <c r="L96" s="92">
        <f t="shared" si="49"/>
        <v>2.2222567093504333</v>
      </c>
      <c r="M96" s="92">
        <f t="shared" si="49"/>
        <v>2.3051082573203399</v>
      </c>
      <c r="N96" s="92">
        <f t="shared" si="49"/>
        <v>2.3798479521800173</v>
      </c>
      <c r="O96" s="92">
        <f t="shared" si="49"/>
        <v>2.4468068604534059</v>
      </c>
      <c r="P96" s="92">
        <f t="shared" si="49"/>
        <v>2.510971414770506</v>
      </c>
      <c r="Q96" s="92">
        <f t="shared" si="49"/>
        <v>2.5739125106809659</v>
      </c>
      <c r="R96" s="92">
        <f t="shared" si="49"/>
        <v>2.6355082389603095</v>
      </c>
      <c r="S96" s="92">
        <f t="shared" si="49"/>
        <v>2.6960046850367574</v>
      </c>
      <c r="T96" s="92">
        <f t="shared" si="49"/>
        <v>2.7555154180793853</v>
      </c>
      <c r="U96" s="92">
        <f t="shared" si="49"/>
        <v>2.8139353686364283</v>
      </c>
      <c r="V96" s="92">
        <f t="shared" si="49"/>
        <v>2.8713987511783925</v>
      </c>
      <c r="W96" s="92">
        <f t="shared" si="49"/>
        <v>2.9279547564943371</v>
      </c>
    </row>
    <row r="97" spans="2:25" x14ac:dyDescent="0.2">
      <c r="B97" s="22" t="s">
        <v>105</v>
      </c>
      <c r="C97" s="1"/>
      <c r="D97" s="23"/>
      <c r="E97" s="191">
        <f>((E35*D87)-(E37*D90+D92))/(D88+D89+D91)</f>
        <v>1.1925673519211257</v>
      </c>
      <c r="F97" s="191">
        <f>((F35*E87)-(F37*E90+E92))/(E88+E89+E91)</f>
        <v>1.403100634357745</v>
      </c>
      <c r="G97" s="191">
        <f>((G35*F87)-(G37*F90+F92))/(F88+F89+F91)</f>
        <v>1.5082085290168874</v>
      </c>
      <c r="H97" s="23">
        <f t="shared" ref="H97:W97" si="50">IF(G87&gt;0,(G97*G88+H36*(G91+G89))/(G88+G89+G91),H36)</f>
        <v>1.6966388178701637</v>
      </c>
      <c r="I97" s="23">
        <f t="shared" si="50"/>
        <v>1.8395398336548798</v>
      </c>
      <c r="J97" s="23">
        <f t="shared" si="50"/>
        <v>1.9647662486047848</v>
      </c>
      <c r="K97" s="23">
        <f t="shared" si="50"/>
        <v>2.0750817816740685</v>
      </c>
      <c r="L97" s="23">
        <f t="shared" si="50"/>
        <v>2.1754582835511718</v>
      </c>
      <c r="M97" s="23">
        <f t="shared" si="50"/>
        <v>2.2664459334817142</v>
      </c>
      <c r="N97" s="23">
        <f t="shared" si="50"/>
        <v>2.348636460720916</v>
      </c>
      <c r="O97" s="23">
        <f t="shared" si="50"/>
        <v>2.4223883193536149</v>
      </c>
      <c r="P97" s="23">
        <f t="shared" si="50"/>
        <v>2.4953133651638844</v>
      </c>
      <c r="Q97" s="23">
        <f t="shared" si="50"/>
        <v>2.5669346620896998</v>
      </c>
      <c r="R97" s="23">
        <f t="shared" si="50"/>
        <v>2.6371181571896161</v>
      </c>
      <c r="S97" s="23">
        <f t="shared" si="50"/>
        <v>2.7061296873604435</v>
      </c>
      <c r="T97" s="23">
        <f t="shared" si="50"/>
        <v>2.7740910478647494</v>
      </c>
      <c r="U97" s="23">
        <f t="shared" si="50"/>
        <v>2.8408858348258685</v>
      </c>
      <c r="V97" s="23">
        <f t="shared" si="50"/>
        <v>2.9066580848984773</v>
      </c>
      <c r="W97" s="23">
        <f t="shared" si="50"/>
        <v>2.9714592898326893</v>
      </c>
    </row>
    <row r="98" spans="2:25" x14ac:dyDescent="0.2">
      <c r="B98" s="15" t="s">
        <v>106</v>
      </c>
      <c r="C98" s="23"/>
      <c r="D98" s="23"/>
      <c r="E98" s="191">
        <f>E35</f>
        <v>1.3576170000000001</v>
      </c>
      <c r="F98" s="191">
        <f>F35</f>
        <v>1.5744320000000001</v>
      </c>
      <c r="G98" s="191">
        <f>G35</f>
        <v>1.603952</v>
      </c>
      <c r="H98" s="23">
        <f t="shared" ref="H98:W98" si="51">(H97*(G88+G89+G91)+H37*(G90+G92))/G87</f>
        <v>1.7849194892872491</v>
      </c>
      <c r="I98" s="23">
        <f t="shared" si="51"/>
        <v>1.9156487348916007</v>
      </c>
      <c r="J98" s="23">
        <f t="shared" si="51"/>
        <v>2.0300738672458607</v>
      </c>
      <c r="K98" s="23">
        <f t="shared" si="51"/>
        <v>2.1307476200015003</v>
      </c>
      <c r="L98" s="23">
        <f t="shared" si="51"/>
        <v>2.2222567093504333</v>
      </c>
      <c r="M98" s="23">
        <f t="shared" si="51"/>
        <v>2.3051082573203399</v>
      </c>
      <c r="N98" s="23">
        <f t="shared" si="51"/>
        <v>2.3798479521800173</v>
      </c>
      <c r="O98" s="23">
        <f t="shared" si="51"/>
        <v>2.4468068604534059</v>
      </c>
      <c r="P98" s="23">
        <f t="shared" si="51"/>
        <v>2.510971414770506</v>
      </c>
      <c r="Q98" s="23">
        <f t="shared" si="51"/>
        <v>2.5739125106809659</v>
      </c>
      <c r="R98" s="23">
        <f t="shared" si="51"/>
        <v>2.6355082389603095</v>
      </c>
      <c r="S98" s="23">
        <f t="shared" si="51"/>
        <v>2.6960046850367574</v>
      </c>
      <c r="T98" s="23">
        <f t="shared" si="51"/>
        <v>2.7555154180793853</v>
      </c>
      <c r="U98" s="23">
        <f t="shared" si="51"/>
        <v>2.8139353686364283</v>
      </c>
      <c r="V98" s="23">
        <f t="shared" si="51"/>
        <v>2.8713987511783925</v>
      </c>
      <c r="W98" s="23">
        <f t="shared" si="51"/>
        <v>2.9279547564943371</v>
      </c>
    </row>
    <row r="99" spans="2:25" x14ac:dyDescent="0.2">
      <c r="B99" s="24" t="s">
        <v>107</v>
      </c>
      <c r="C99" s="91"/>
      <c r="D99" s="35"/>
      <c r="E99" s="35">
        <f t="shared" ref="E99:G99" si="52">E108</f>
        <v>0</v>
      </c>
      <c r="F99" s="35">
        <f t="shared" si="52"/>
        <v>0</v>
      </c>
      <c r="G99" s="35">
        <f t="shared" si="52"/>
        <v>0</v>
      </c>
      <c r="H99" s="35">
        <f>H108</f>
        <v>0</v>
      </c>
      <c r="I99" s="35">
        <f t="shared" ref="I99:W99" si="53">I108</f>
        <v>0</v>
      </c>
      <c r="J99" s="35">
        <f t="shared" si="53"/>
        <v>0</v>
      </c>
      <c r="K99" s="35">
        <f t="shared" si="53"/>
        <v>0</v>
      </c>
      <c r="L99" s="35">
        <f t="shared" si="53"/>
        <v>0</v>
      </c>
      <c r="M99" s="35">
        <f t="shared" si="53"/>
        <v>0</v>
      </c>
      <c r="N99" s="35">
        <f t="shared" si="53"/>
        <v>0</v>
      </c>
      <c r="O99" s="35">
        <f t="shared" si="53"/>
        <v>0</v>
      </c>
      <c r="P99" s="35">
        <f t="shared" si="53"/>
        <v>0</v>
      </c>
      <c r="Q99" s="35">
        <f t="shared" si="53"/>
        <v>0</v>
      </c>
      <c r="R99" s="35">
        <f t="shared" si="53"/>
        <v>0</v>
      </c>
      <c r="S99" s="35">
        <f t="shared" si="53"/>
        <v>0</v>
      </c>
      <c r="T99" s="35">
        <f t="shared" si="53"/>
        <v>0</v>
      </c>
      <c r="U99" s="35">
        <f t="shared" si="53"/>
        <v>0</v>
      </c>
      <c r="V99" s="35">
        <f t="shared" si="53"/>
        <v>0</v>
      </c>
      <c r="W99" s="35">
        <f t="shared" si="53"/>
        <v>0</v>
      </c>
    </row>
    <row r="100" spans="2:25" x14ac:dyDescent="0.2">
      <c r="G100" s="76"/>
      <c r="H100" s="76"/>
      <c r="I100" s="76"/>
      <c r="J100" s="76"/>
      <c r="K100" s="76"/>
      <c r="L100" s="76"/>
      <c r="M100" s="76"/>
      <c r="N100" s="76"/>
      <c r="O100" s="76"/>
      <c r="P100" s="76"/>
      <c r="Q100" s="76"/>
      <c r="R100" s="76"/>
      <c r="S100" s="76"/>
      <c r="T100" s="76"/>
      <c r="U100" s="76"/>
      <c r="V100" s="76"/>
      <c r="W100" s="76"/>
    </row>
    <row r="101" spans="2:25" x14ac:dyDescent="0.2">
      <c r="B101" s="90" t="s">
        <v>138</v>
      </c>
      <c r="C101" s="92">
        <f t="shared" ref="C101:W101" si="54">((1+C96/100)/((1+C23/100)*(1+C41/100))-1)*100</f>
        <v>-7.5163560887435477</v>
      </c>
      <c r="D101" s="92">
        <f t="shared" si="54"/>
        <v>-8.1307101305954088</v>
      </c>
      <c r="E101" s="92">
        <f t="shared" si="54"/>
        <v>-6.0462653924760907</v>
      </c>
      <c r="F101" s="92">
        <f t="shared" si="54"/>
        <v>-2.8137536280651743</v>
      </c>
      <c r="G101" s="92">
        <f t="shared" si="54"/>
        <v>-2.0585151918129818</v>
      </c>
      <c r="H101" s="92">
        <f t="shared" si="54"/>
        <v>-2.3027688171105676</v>
      </c>
      <c r="I101" s="92">
        <f t="shared" si="54"/>
        <v>-2.068853356137268</v>
      </c>
      <c r="J101" s="92">
        <f t="shared" si="54"/>
        <v>-1.6585160756954265</v>
      </c>
      <c r="K101" s="92">
        <f t="shared" si="54"/>
        <v>-1.312571110366112</v>
      </c>
      <c r="L101" s="92">
        <f t="shared" si="54"/>
        <v>-1.2308298657608296</v>
      </c>
      <c r="M101" s="92">
        <f t="shared" si="54"/>
        <v>-1.152378934494469</v>
      </c>
      <c r="N101" s="92">
        <f t="shared" si="54"/>
        <v>-1.0940387847421129</v>
      </c>
      <c r="O101" s="92">
        <f t="shared" si="54"/>
        <v>-1.077468939764803</v>
      </c>
      <c r="P101" s="92">
        <f t="shared" si="54"/>
        <v>-1.0159410489025911</v>
      </c>
      <c r="Q101" s="92">
        <f t="shared" si="54"/>
        <v>-0.95557920050864942</v>
      </c>
      <c r="R101" s="92">
        <f t="shared" si="54"/>
        <v>-0.89650145825765915</v>
      </c>
      <c r="S101" s="92">
        <f t="shared" si="54"/>
        <v>-0.91907653160268055</v>
      </c>
      <c r="T101" s="92">
        <f t="shared" si="54"/>
        <v>-0.93876453860716191</v>
      </c>
      <c r="U101" s="92">
        <f t="shared" si="54"/>
        <v>-1.0140298025226535</v>
      </c>
      <c r="V101" s="92">
        <f t="shared" si="54"/>
        <v>-1.0927388249131975</v>
      </c>
      <c r="W101" s="92">
        <f t="shared" si="54"/>
        <v>-1.0624005185996155</v>
      </c>
    </row>
    <row r="102" spans="2:25" x14ac:dyDescent="0.2">
      <c r="F102" s="23"/>
      <c r="G102" s="23"/>
      <c r="H102" s="23"/>
      <c r="I102" s="23"/>
      <c r="J102" s="23"/>
      <c r="K102" s="23"/>
      <c r="L102" s="23"/>
      <c r="M102" s="23"/>
      <c r="N102" s="23"/>
      <c r="O102" s="23"/>
      <c r="P102" s="23"/>
      <c r="Q102" s="23"/>
      <c r="R102" s="23"/>
      <c r="S102" s="23"/>
      <c r="T102" s="23"/>
      <c r="U102" s="23"/>
      <c r="V102" s="23"/>
      <c r="W102" s="23"/>
    </row>
    <row r="104" spans="2:25" s="72" customFormat="1" ht="12.75" x14ac:dyDescent="0.2">
      <c r="B104" s="14" t="s">
        <v>108</v>
      </c>
    </row>
    <row r="105" spans="2:25" s="87" customFormat="1" ht="12.75" x14ac:dyDescent="0.2">
      <c r="C105" s="81"/>
      <c r="D105" s="81"/>
      <c r="E105" s="81"/>
      <c r="F105" s="81"/>
      <c r="G105" s="81"/>
      <c r="H105" s="81"/>
      <c r="I105" s="81"/>
      <c r="J105" s="81"/>
      <c r="K105" s="81"/>
      <c r="L105" s="81"/>
      <c r="M105" s="81"/>
      <c r="N105" s="81"/>
      <c r="O105" s="81"/>
      <c r="P105" s="81"/>
      <c r="Q105" s="81"/>
      <c r="R105" s="81"/>
      <c r="S105" s="81"/>
      <c r="T105" s="81"/>
      <c r="U105" s="81"/>
      <c r="V105" s="81"/>
      <c r="W105" s="81"/>
    </row>
    <row r="106" spans="2:25" x14ac:dyDescent="0.2">
      <c r="B106" s="97" t="s">
        <v>21</v>
      </c>
      <c r="C106" s="23">
        <v>51.650089999999999</v>
      </c>
      <c r="D106" s="23">
        <v>50.132860000000001</v>
      </c>
      <c r="E106" s="23">
        <v>46.482689999999998</v>
      </c>
      <c r="F106" s="23">
        <v>47.061230000000002</v>
      </c>
      <c r="G106" s="23">
        <v>48.424289999999999</v>
      </c>
      <c r="H106" s="23">
        <v>48.581020000000002</v>
      </c>
      <c r="I106" s="23">
        <v>48.737650000000002</v>
      </c>
      <c r="J106" s="23">
        <v>49.0169</v>
      </c>
      <c r="K106" s="23">
        <v>49.629860000000001</v>
      </c>
      <c r="L106" s="23">
        <v>50.464530000000003</v>
      </c>
      <c r="M106" s="23">
        <v>51.542529999999999</v>
      </c>
      <c r="N106" s="23">
        <v>52.850239999999999</v>
      </c>
      <c r="O106" s="23">
        <v>54.325859999999999</v>
      </c>
      <c r="P106" s="23">
        <v>55.984990000000003</v>
      </c>
      <c r="Q106" s="23">
        <v>57.801749999999998</v>
      </c>
      <c r="R106" s="23">
        <v>59.802149999999997</v>
      </c>
      <c r="S106" s="23">
        <v>61.947859999999999</v>
      </c>
      <c r="T106" s="23">
        <v>64.207930000000005</v>
      </c>
      <c r="U106" s="23">
        <v>66.549160000000001</v>
      </c>
      <c r="V106" s="23">
        <v>68.953890000000001</v>
      </c>
      <c r="W106" s="23">
        <v>71.457890000000006</v>
      </c>
    </row>
    <row r="107" spans="2:25" x14ac:dyDescent="0.2">
      <c r="B107" s="15" t="s">
        <v>104</v>
      </c>
      <c r="C107" s="23">
        <v>1.082266</v>
      </c>
      <c r="D107" s="23">
        <v>1.1515390000000001</v>
      </c>
      <c r="E107" s="23">
        <v>1.3576170000000001</v>
      </c>
      <c r="F107" s="23">
        <v>1.5744320000000001</v>
      </c>
      <c r="G107" s="23">
        <v>1.603952</v>
      </c>
      <c r="H107" s="23">
        <v>1.777914</v>
      </c>
      <c r="I107" s="23">
        <v>1.909492</v>
      </c>
      <c r="J107" s="23">
        <v>2.0246689999999998</v>
      </c>
      <c r="K107" s="23">
        <v>2.12601</v>
      </c>
      <c r="L107" s="23">
        <v>2.2181289999999998</v>
      </c>
      <c r="M107" s="23">
        <v>2.3015340000000002</v>
      </c>
      <c r="N107" s="23">
        <v>2.376773</v>
      </c>
      <c r="O107" s="23">
        <v>2.4441769999999998</v>
      </c>
      <c r="P107" s="23">
        <v>2.508731</v>
      </c>
      <c r="Q107" s="23">
        <v>2.5720109999999998</v>
      </c>
      <c r="R107" s="23">
        <v>2.6338979999999999</v>
      </c>
      <c r="S107" s="23">
        <v>2.694645</v>
      </c>
      <c r="T107" s="23">
        <v>2.7543700000000002</v>
      </c>
      <c r="U107" s="23">
        <v>2.8129729999999999</v>
      </c>
      <c r="V107" s="23">
        <v>2.8705919999999998</v>
      </c>
      <c r="W107" s="23">
        <v>2.9272800000000001</v>
      </c>
    </row>
    <row r="108" spans="2:25" x14ac:dyDescent="0.2">
      <c r="B108" s="15" t="s">
        <v>137</v>
      </c>
      <c r="C108" s="23"/>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2:25" x14ac:dyDescent="0.2">
      <c r="C109" s="95"/>
      <c r="D109" s="95"/>
      <c r="E109" s="95"/>
      <c r="F109" s="95"/>
      <c r="G109" s="95"/>
      <c r="H109" s="95"/>
      <c r="I109" s="95"/>
      <c r="J109" s="95"/>
      <c r="K109" s="95"/>
      <c r="L109" s="95"/>
      <c r="M109" s="95"/>
      <c r="N109" s="95"/>
      <c r="O109" s="95"/>
      <c r="P109" s="95"/>
      <c r="Q109" s="95"/>
      <c r="R109" s="95"/>
      <c r="S109" s="95"/>
      <c r="T109" s="95"/>
      <c r="U109" s="95"/>
      <c r="V109" s="95"/>
      <c r="W109" s="95"/>
    </row>
    <row r="110" spans="2:25" x14ac:dyDescent="0.2">
      <c r="B110" s="15" t="s">
        <v>68</v>
      </c>
      <c r="C110" s="20">
        <v>2021</v>
      </c>
      <c r="D110" s="20">
        <v>2022</v>
      </c>
      <c r="E110" s="20">
        <v>2023</v>
      </c>
      <c r="F110" s="20">
        <v>2024</v>
      </c>
      <c r="G110" s="20">
        <v>2025</v>
      </c>
      <c r="H110" s="20">
        <v>2026</v>
      </c>
      <c r="I110" s="20">
        <v>2027</v>
      </c>
      <c r="J110" s="20">
        <v>2028</v>
      </c>
      <c r="K110" s="20">
        <v>2029</v>
      </c>
      <c r="L110" s="20">
        <v>2030</v>
      </c>
      <c r="M110" s="20">
        <v>2031</v>
      </c>
      <c r="N110" s="20">
        <v>2032</v>
      </c>
      <c r="O110" s="20">
        <v>2033</v>
      </c>
      <c r="P110" s="20">
        <v>2034</v>
      </c>
      <c r="Q110" s="20">
        <v>2035</v>
      </c>
      <c r="R110" s="20">
        <v>2036</v>
      </c>
      <c r="S110" s="20">
        <v>2037</v>
      </c>
      <c r="T110" s="20">
        <v>2038</v>
      </c>
      <c r="U110" s="20">
        <v>2039</v>
      </c>
      <c r="V110" s="20">
        <v>2040</v>
      </c>
      <c r="W110" s="20">
        <v>2041</v>
      </c>
    </row>
    <row r="111" spans="2:25" x14ac:dyDescent="0.2">
      <c r="B111" s="15" t="s">
        <v>109</v>
      </c>
      <c r="C111" s="23">
        <v>3.8019160000000003E-2</v>
      </c>
      <c r="D111" s="23">
        <v>7.8597440000000005E-2</v>
      </c>
      <c r="E111" s="23">
        <v>5.9475470000000003E-2</v>
      </c>
      <c r="F111" s="23">
        <v>9.6876959999999998E-2</v>
      </c>
      <c r="G111" s="23">
        <v>0.11684023</v>
      </c>
      <c r="H111" s="23">
        <v>0.13811532000000001</v>
      </c>
      <c r="I111" s="23">
        <v>0.13659083</v>
      </c>
      <c r="J111" s="23">
        <v>0.14219135999999999</v>
      </c>
      <c r="K111" s="23">
        <v>0.1389396</v>
      </c>
      <c r="L111" s="23">
        <v>0.12512538000000001</v>
      </c>
      <c r="M111" s="23">
        <v>0.12849179999999999</v>
      </c>
      <c r="N111" s="23">
        <v>7.2085140000000006E-2</v>
      </c>
      <c r="O111" s="23">
        <v>6.8681389999999995E-2</v>
      </c>
      <c r="P111" s="23">
        <v>6.8049499999999999E-2</v>
      </c>
      <c r="Q111" s="23">
        <v>6.8080779999999994E-2</v>
      </c>
      <c r="R111" s="23">
        <v>6.7666320000000002E-2</v>
      </c>
      <c r="S111" s="23">
        <v>6.9220519999999994E-2</v>
      </c>
      <c r="T111" s="23">
        <v>6.6629789999999994E-2</v>
      </c>
      <c r="U111" s="23">
        <v>6.6434309999999996E-2</v>
      </c>
      <c r="V111" s="23">
        <v>6.6393380000000002E-2</v>
      </c>
      <c r="W111" s="23">
        <v>6.621254E-2</v>
      </c>
      <c r="X111" s="27"/>
    </row>
    <row r="112" spans="2:25" x14ac:dyDescent="0.2">
      <c r="B112" s="15" t="s">
        <v>110</v>
      </c>
      <c r="C112" s="23">
        <v>3.0337050000000001E-2</v>
      </c>
      <c r="D112" s="23">
        <v>3.594311E-2</v>
      </c>
      <c r="E112" s="23">
        <v>4.1166179999999997E-2</v>
      </c>
      <c r="F112" s="23">
        <v>1.594102E-2</v>
      </c>
      <c r="G112" s="23">
        <v>1.5850139999999999E-2</v>
      </c>
      <c r="H112" s="23">
        <v>3.7528779999999998E-2</v>
      </c>
      <c r="I112" s="23">
        <v>3.4050280000000002E-2</v>
      </c>
      <c r="J112" s="23">
        <v>4.734439E-2</v>
      </c>
      <c r="K112" s="23">
        <v>4.4075929999999999E-2</v>
      </c>
      <c r="L112" s="23">
        <v>5.08599E-2</v>
      </c>
      <c r="M112" s="23">
        <v>6.6237939999999995E-2</v>
      </c>
      <c r="N112" s="23">
        <v>6.0253769999999998E-2</v>
      </c>
      <c r="O112" s="23">
        <v>9.0030589999999994E-2</v>
      </c>
      <c r="P112" s="23">
        <v>7.2952390000000006E-2</v>
      </c>
      <c r="Q112" s="23">
        <v>7.7366660000000004E-2</v>
      </c>
      <c r="R112" s="23">
        <v>9.0839359999999994E-2</v>
      </c>
      <c r="S112" s="23">
        <v>9.9621100000000004E-2</v>
      </c>
      <c r="T112" s="23">
        <v>0.10965455</v>
      </c>
      <c r="U112" s="23">
        <v>9.8654409999999998E-2</v>
      </c>
      <c r="V112" s="23">
        <v>0.10313576000000001</v>
      </c>
      <c r="W112" s="23">
        <v>0.11073872999999999</v>
      </c>
      <c r="X112" s="23"/>
      <c r="Y112" s="76"/>
    </row>
    <row r="113" spans="2:24" x14ac:dyDescent="0.2">
      <c r="B113" s="15" t="s">
        <v>111</v>
      </c>
      <c r="C113" s="23">
        <v>1E-3</v>
      </c>
      <c r="D113" s="23">
        <v>7.5373060000000006E-2</v>
      </c>
      <c r="E113" s="23">
        <v>4.6882050000000001E-2</v>
      </c>
      <c r="F113" s="23">
        <v>5.4216720000000003E-2</v>
      </c>
      <c r="G113" s="23">
        <v>6.7343109999999998E-2</v>
      </c>
      <c r="H113" s="23">
        <v>7.3281109999999997E-2</v>
      </c>
      <c r="I113" s="23">
        <v>6.3735609999999998E-2</v>
      </c>
      <c r="J113" s="23">
        <v>7.1999019999999997E-2</v>
      </c>
      <c r="K113" s="23">
        <v>7.7920139999999999E-2</v>
      </c>
      <c r="L113" s="23">
        <v>7.3665930000000004E-2</v>
      </c>
      <c r="M113" s="23">
        <v>9.2833230000000003E-2</v>
      </c>
      <c r="N113" s="23">
        <v>9.7499160000000001E-2</v>
      </c>
      <c r="O113" s="23">
        <v>0.10431984</v>
      </c>
      <c r="P113" s="23">
        <v>7.7692949999999997E-2</v>
      </c>
      <c r="Q113" s="23">
        <v>8.1896739999999996E-2</v>
      </c>
      <c r="R113" s="23">
        <v>7.226059E-2</v>
      </c>
      <c r="S113" s="23">
        <v>7.2475159999999997E-2</v>
      </c>
      <c r="T113" s="23">
        <v>7.2704249999999998E-2</v>
      </c>
      <c r="U113" s="23">
        <v>7.292216E-2</v>
      </c>
      <c r="V113" s="23">
        <v>7.3112590000000005E-2</v>
      </c>
      <c r="W113" s="23">
        <v>7.3435849999999997E-2</v>
      </c>
      <c r="X113" s="27"/>
    </row>
    <row r="114" spans="2:24" x14ac:dyDescent="0.2">
      <c r="B114" s="15" t="s">
        <v>112</v>
      </c>
      <c r="C114" s="23">
        <v>8.3818409999999996E-2</v>
      </c>
      <c r="D114" s="23">
        <v>6.9391629999999996E-2</v>
      </c>
      <c r="E114" s="23">
        <v>4.6492409999999998E-2</v>
      </c>
      <c r="F114" s="23">
        <v>4.9193250000000001E-2</v>
      </c>
      <c r="G114" s="23">
        <v>5.6712739999999998E-2</v>
      </c>
      <c r="H114" s="23">
        <v>6.4011879999999993E-2</v>
      </c>
      <c r="I114" s="23">
        <v>6.4931299999999997E-2</v>
      </c>
      <c r="J114" s="23">
        <v>6.3912460000000004E-2</v>
      </c>
      <c r="K114" s="23">
        <v>6.1693610000000003E-2</v>
      </c>
      <c r="L114" s="23">
        <v>5.4426040000000002E-2</v>
      </c>
      <c r="M114" s="23">
        <v>8.556656E-2</v>
      </c>
      <c r="N114" s="23">
        <v>8.1653809999999993E-2</v>
      </c>
      <c r="O114" s="23">
        <v>7.5878589999999996E-2</v>
      </c>
      <c r="P114" s="23">
        <v>6.1356269999999997E-2</v>
      </c>
      <c r="Q114" s="23">
        <v>8.1797350000000005E-2</v>
      </c>
      <c r="R114" s="23">
        <v>8.4442320000000001E-2</v>
      </c>
      <c r="S114" s="23">
        <v>6.0270190000000001E-2</v>
      </c>
      <c r="T114" s="23">
        <v>7.2970759999999996E-2</v>
      </c>
      <c r="U114" s="23">
        <v>5.7315959999999999E-2</v>
      </c>
      <c r="V114" s="23">
        <v>6.0796679999999999E-2</v>
      </c>
      <c r="W114" s="23">
        <v>5.7293660000000003E-2</v>
      </c>
      <c r="X114" s="27"/>
    </row>
    <row r="115" spans="2:24" x14ac:dyDescent="0.2">
      <c r="C115" s="27"/>
      <c r="D115" s="27"/>
      <c r="E115" s="23"/>
      <c r="F115" s="23"/>
      <c r="G115" s="27"/>
      <c r="H115" s="95"/>
      <c r="I115" s="95"/>
      <c r="J115" s="95"/>
      <c r="K115" s="95"/>
      <c r="L115" s="95"/>
      <c r="M115" s="95"/>
      <c r="N115" s="95"/>
      <c r="O115" s="95"/>
      <c r="P115" s="95"/>
      <c r="Q115" s="95"/>
      <c r="R115" s="95"/>
      <c r="S115" s="95"/>
      <c r="T115" s="95"/>
      <c r="U115" s="95"/>
      <c r="V115" s="95"/>
      <c r="W115" s="95"/>
      <c r="X115" s="27"/>
    </row>
    <row r="116" spans="2:24" x14ac:dyDescent="0.2">
      <c r="E116" s="23"/>
      <c r="F116" s="23"/>
      <c r="G116" s="98"/>
      <c r="H116" s="98"/>
      <c r="I116" s="98"/>
      <c r="J116" s="98"/>
      <c r="K116" s="98"/>
      <c r="L116" s="98"/>
      <c r="M116" s="98"/>
      <c r="N116" s="98"/>
      <c r="O116" s="98"/>
      <c r="P116" s="98"/>
      <c r="Q116" s="98"/>
      <c r="R116" s="98"/>
      <c r="S116" s="98"/>
      <c r="T116" s="98"/>
      <c r="U116" s="98"/>
      <c r="V116" s="98"/>
      <c r="W116" s="98"/>
    </row>
    <row r="117" spans="2:24" x14ac:dyDescent="0.2">
      <c r="D117" s="185"/>
      <c r="E117" s="185"/>
      <c r="F117" s="185"/>
      <c r="G117" s="185"/>
    </row>
    <row r="118" spans="2:24" x14ac:dyDescent="0.2">
      <c r="D118" s="185"/>
      <c r="E118" s="185"/>
      <c r="F118" s="185"/>
      <c r="G118" s="185"/>
      <c r="H118" s="185"/>
      <c r="I118" s="185"/>
      <c r="J118" s="185"/>
      <c r="K118" s="185"/>
      <c r="L118" s="185"/>
      <c r="M118" s="185"/>
      <c r="N118" s="185"/>
      <c r="O118" s="185"/>
      <c r="P118" s="185"/>
      <c r="Q118" s="185"/>
      <c r="R118" s="185"/>
      <c r="S118" s="185"/>
      <c r="T118" s="185"/>
      <c r="U118" s="98"/>
      <c r="V118" s="98"/>
      <c r="W118" s="98"/>
    </row>
    <row r="119" spans="2:24" x14ac:dyDescent="0.2">
      <c r="E119" s="23"/>
      <c r="F119" s="23"/>
      <c r="G119" s="98"/>
      <c r="H119" s="98"/>
      <c r="I119" s="98"/>
      <c r="J119" s="98"/>
      <c r="K119" s="98"/>
      <c r="L119" s="98"/>
      <c r="M119" s="98"/>
      <c r="N119" s="98"/>
      <c r="O119" s="98"/>
      <c r="P119" s="98"/>
      <c r="Q119" s="98"/>
      <c r="R119" s="98"/>
      <c r="S119" s="98"/>
      <c r="T119" s="98"/>
      <c r="U119" s="98"/>
      <c r="V119" s="98"/>
      <c r="W119" s="98"/>
      <c r="X119" s="98"/>
    </row>
    <row r="120" spans="2:24" x14ac:dyDescent="0.2">
      <c r="G120" s="98"/>
      <c r="H120" s="98"/>
      <c r="I120" s="98"/>
      <c r="J120" s="98"/>
      <c r="K120" s="98"/>
      <c r="L120" s="98"/>
      <c r="M120" s="98"/>
      <c r="N120" s="98"/>
      <c r="O120" s="98"/>
      <c r="P120" s="98"/>
      <c r="Q120" s="98"/>
      <c r="R120" s="98"/>
      <c r="S120" s="98"/>
      <c r="T120" s="98"/>
      <c r="U120" s="98"/>
      <c r="V120" s="98"/>
      <c r="W120" s="98"/>
      <c r="X120" s="98"/>
    </row>
    <row r="121" spans="2:24" x14ac:dyDescent="0.2">
      <c r="E121" s="23"/>
      <c r="F121" s="76"/>
      <c r="G121" s="76"/>
      <c r="H121" s="76"/>
      <c r="I121" s="76"/>
      <c r="J121" s="76"/>
      <c r="K121" s="76"/>
      <c r="L121" s="76"/>
      <c r="M121" s="76"/>
      <c r="N121" s="76"/>
      <c r="O121" s="76"/>
      <c r="P121" s="76"/>
      <c r="Q121" s="76"/>
      <c r="R121" s="76"/>
      <c r="S121" s="76"/>
      <c r="T121" s="76"/>
      <c r="U121" s="76"/>
      <c r="V121" s="76"/>
      <c r="W121" s="76"/>
      <c r="X121" s="98"/>
    </row>
    <row r="122" spans="2:24" x14ac:dyDescent="0.2">
      <c r="E122" s="23"/>
      <c r="F122" s="23"/>
      <c r="G122" s="98"/>
      <c r="H122" s="98"/>
      <c r="I122" s="98"/>
      <c r="J122" s="98"/>
      <c r="K122" s="98"/>
      <c r="L122" s="98"/>
      <c r="M122" s="98"/>
      <c r="N122" s="98"/>
      <c r="O122" s="98"/>
      <c r="P122" s="98"/>
      <c r="Q122" s="98"/>
      <c r="R122" s="98"/>
      <c r="S122" s="98"/>
      <c r="T122" s="98"/>
      <c r="U122" s="98"/>
      <c r="V122" s="98"/>
      <c r="W122" s="98"/>
      <c r="X122" s="98"/>
    </row>
    <row r="123" spans="2:24" x14ac:dyDescent="0.2">
      <c r="G123" s="98"/>
      <c r="H123" s="98"/>
      <c r="I123" s="98"/>
      <c r="J123" s="98"/>
      <c r="K123" s="98"/>
      <c r="L123" s="98"/>
      <c r="M123" s="98"/>
      <c r="N123" s="98"/>
      <c r="O123" s="98"/>
      <c r="P123" s="98"/>
      <c r="Q123" s="98"/>
      <c r="R123" s="98"/>
      <c r="S123" s="98"/>
      <c r="T123" s="98"/>
      <c r="U123" s="98"/>
      <c r="V123" s="98"/>
      <c r="W123" s="98"/>
      <c r="X123" s="98"/>
    </row>
  </sheetData>
  <conditionalFormatting sqref="U10:W43 U45:W52 U82:W103 U105:W129 U54:W80">
    <cfRule type="expression" dxfId="7" priority="1">
      <formula>U$10&gt;($C$6+10)</formula>
    </cfRule>
  </conditionalFormatting>
  <pageMargins left="0.7" right="0.7" top="0.75" bottom="0.75" header="0.3" footer="0.3"/>
  <pageSetup paperSize="9" orientation="portrait" r:id="rId1"/>
  <ignoredErrors>
    <ignoredError sqref="C5 C46:C47" unlockedFormula="1"/>
    <ignoredError sqref="V35:W35 V56:W57 V66:W69 V76:W77 V97:W98 U84:U86 V83:W86 V100:W100 U88:U94 V88:W96"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sheetPr>
  <dimension ref="A1:AY125"/>
  <sheetViews>
    <sheetView zoomScaleNormal="100" workbookViewId="0"/>
  </sheetViews>
  <sheetFormatPr defaultColWidth="9.28515625" defaultRowHeight="11.25" outlineLevelRow="1" x14ac:dyDescent="0.2"/>
  <cols>
    <col min="1" max="1" width="9.28515625" style="15" customWidth="1"/>
    <col min="2" max="2" width="57.42578125" style="15" customWidth="1"/>
    <col min="3" max="38" width="9.28515625" style="15" customWidth="1"/>
    <col min="39" max="48" width="11.42578125" style="15" bestFit="1" customWidth="1"/>
    <col min="49" max="16384" width="9.28515625" style="15"/>
  </cols>
  <sheetData>
    <row r="1" spans="1:51" ht="24.75" customHeight="1" x14ac:dyDescent="0.2">
      <c r="B1" s="28"/>
    </row>
    <row r="2" spans="1:51" ht="11.25" customHeight="1" x14ac:dyDescent="0.2">
      <c r="B2" s="16"/>
    </row>
    <row r="3" spans="1:51" ht="11.25" customHeight="1" x14ac:dyDescent="0.2">
      <c r="B3" s="8" t="s">
        <v>11</v>
      </c>
      <c r="C3" s="9" t="str">
        <f>'Input data'!C3</f>
        <v>NL</v>
      </c>
    </row>
    <row r="4" spans="1:51" x14ac:dyDescent="0.2">
      <c r="B4" s="49" t="s">
        <v>16</v>
      </c>
      <c r="C4" s="10"/>
    </row>
    <row r="5" spans="1:51" x14ac:dyDescent="0.2">
      <c r="A5" s="18"/>
      <c r="B5" s="11" t="str">
        <f>'Input data'!B5</f>
        <v>Last year before the adjustment</v>
      </c>
      <c r="C5" s="12">
        <f>+'Input data'!C5</f>
        <v>2024</v>
      </c>
      <c r="J5" s="38"/>
      <c r="M5" s="27"/>
    </row>
    <row r="6" spans="1:51" x14ac:dyDescent="0.2">
      <c r="A6" s="18"/>
      <c r="B6" s="50" t="s">
        <v>22</v>
      </c>
      <c r="C6" s="12">
        <f>+C5+'Criteria results'!$F$5</f>
        <v>2028</v>
      </c>
      <c r="E6" s="30"/>
      <c r="F6" s="18"/>
    </row>
    <row r="7" spans="1:51" x14ac:dyDescent="0.2">
      <c r="A7" s="18"/>
      <c r="B7" s="13" t="s">
        <v>17</v>
      </c>
      <c r="C7" s="51">
        <f>C5+'Criteria results'!$F$5+10</f>
        <v>2038</v>
      </c>
      <c r="E7" s="30"/>
      <c r="F7" s="18"/>
      <c r="G7" s="38"/>
      <c r="H7" s="38"/>
      <c r="I7" s="38"/>
      <c r="J7" s="38"/>
      <c r="K7" s="38"/>
      <c r="L7" s="38"/>
      <c r="M7" s="38"/>
    </row>
    <row r="8" spans="1:51" x14ac:dyDescent="0.2">
      <c r="A8" s="18"/>
      <c r="C8" s="18"/>
      <c r="E8" s="30"/>
      <c r="F8" s="18"/>
      <c r="G8" s="18"/>
      <c r="H8" s="18"/>
      <c r="I8" s="18"/>
      <c r="J8" s="18"/>
      <c r="K8" s="18"/>
      <c r="L8" s="18"/>
      <c r="M8" s="18"/>
      <c r="N8" s="18"/>
      <c r="O8" s="18"/>
      <c r="P8" s="18"/>
      <c r="Q8" s="18"/>
      <c r="R8" s="18"/>
      <c r="S8" s="18"/>
      <c r="T8" s="18"/>
      <c r="U8" s="18"/>
      <c r="V8" s="18"/>
      <c r="W8" s="18"/>
    </row>
    <row r="9" spans="1:51" s="52" customFormat="1" ht="12.75" x14ac:dyDescent="0.2">
      <c r="B9" s="14" t="s">
        <v>23</v>
      </c>
    </row>
    <row r="10" spans="1:51" x14ac:dyDescent="0.2">
      <c r="C10" s="20">
        <v>2021</v>
      </c>
      <c r="D10" s="20">
        <v>2022</v>
      </c>
      <c r="E10" s="20">
        <v>2023</v>
      </c>
      <c r="F10" s="20">
        <v>2024</v>
      </c>
      <c r="G10" s="20">
        <v>2025</v>
      </c>
      <c r="H10" s="20">
        <v>2026</v>
      </c>
      <c r="I10" s="20">
        <v>2027</v>
      </c>
      <c r="J10" s="20">
        <v>2028</v>
      </c>
      <c r="K10" s="20">
        <v>2029</v>
      </c>
      <c r="L10" s="20">
        <v>2030</v>
      </c>
      <c r="M10" s="20">
        <v>2031</v>
      </c>
      <c r="N10" s="20">
        <v>2032</v>
      </c>
      <c r="O10" s="20">
        <v>2033</v>
      </c>
      <c r="P10" s="20">
        <v>2034</v>
      </c>
      <c r="Q10" s="20">
        <v>2035</v>
      </c>
      <c r="R10" s="20">
        <v>2036</v>
      </c>
      <c r="S10" s="20">
        <v>2037</v>
      </c>
      <c r="T10" s="20">
        <v>2038</v>
      </c>
      <c r="U10" s="20">
        <v>2039</v>
      </c>
      <c r="V10" s="20">
        <v>2040</v>
      </c>
      <c r="W10" s="20">
        <v>2041</v>
      </c>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row>
    <row r="11" spans="1:51" x14ac:dyDescent="0.2">
      <c r="B11" s="17" t="s">
        <v>24</v>
      </c>
      <c r="C11" s="18"/>
      <c r="D11" s="18"/>
      <c r="E11" s="18"/>
      <c r="F11" s="188"/>
      <c r="G11" s="188"/>
      <c r="H11" s="188"/>
      <c r="I11" s="188"/>
      <c r="J11" s="188"/>
      <c r="K11" s="188"/>
      <c r="L11" s="188"/>
      <c r="M11" s="188"/>
      <c r="N11" s="188"/>
      <c r="O11" s="188"/>
      <c r="P11" s="188"/>
      <c r="Q11" s="188"/>
      <c r="R11" s="188"/>
      <c r="S11" s="188"/>
      <c r="T11" s="188"/>
      <c r="U11" s="188"/>
      <c r="V11" s="188"/>
      <c r="W11" s="18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row>
    <row r="12" spans="1:51" x14ac:dyDescent="0.2">
      <c r="B12" s="15" t="s">
        <v>26</v>
      </c>
      <c r="C12" s="1">
        <f>'Input data'!C13</f>
        <v>-1.3850450000000001</v>
      </c>
      <c r="D12" s="2">
        <f>'Input data'!D13</f>
        <v>-0.58009900000000003</v>
      </c>
      <c r="E12" s="2">
        <f>'Input data'!E13</f>
        <v>-0.18470490000000001</v>
      </c>
      <c r="F12" s="2">
        <f>'Input data'!F13</f>
        <v>-0.64168910000000001</v>
      </c>
      <c r="G12" s="3">
        <f>IF(G10&lt;=$C$6,
IF(AND(F78&lt;=-1.55,'Criteria results'!$F$5=4,'Criteria results'!$F$6&lt;0.4),F12+0.4,
IF(AND(F78&lt;=-1.55,'Criteria results'!$F$5=7,'Criteria results'!$F$6&lt;0.25),F12+0.25,
F12+'Criteria results'!$F$6)),F12)</f>
        <v>-0.64168910000000001</v>
      </c>
      <c r="H12" s="3">
        <f>IF(H10&lt;=$C$6,
IF(AND(G78&lt;=-1.55,'Criteria results'!$F$5=4,'Criteria results'!$F$6&lt;0.4),G12+0.4,
IF(AND(G78&lt;=-1.55,'Criteria results'!$F$5=7,'Criteria results'!$F$6&lt;0.25),G12+0.25,
G12+'Criteria results'!$F$6)),G12)</f>
        <v>-0.64168910000000001</v>
      </c>
      <c r="I12" s="3">
        <f>IF(I10&lt;=$C$6,
IF(AND(H78&lt;=-1.55,'Criteria results'!$F$5=4,'Criteria results'!$F$6&lt;0.4),H12+0.4,
IF(AND(H78&lt;=-1.55,'Criteria results'!$F$5=7,'Criteria results'!$F$6&lt;0.25),H12+0.25,
H12+'Criteria results'!$F$6)),H12)</f>
        <v>-0.64168910000000001</v>
      </c>
      <c r="J12" s="3">
        <f>IF(J10&lt;=$C$6,
IF(AND(I78&lt;=-1.55,'Criteria results'!$F$5=4,'Criteria results'!$F$6&lt;0.4),I12+0.4,
IF(AND(I78&lt;=-1.55,'Criteria results'!$F$5=7,'Criteria results'!$F$6&lt;0.25),I12+0.25,
I12+'Criteria results'!$F$6)),I12)</f>
        <v>-0.64168910000000001</v>
      </c>
      <c r="K12" s="96">
        <f>IF(K10&lt;=$C$6,
IF(AND(J78&lt;=-1.55,'Criteria results'!$F$5=4,'Criteria results'!$F$6&lt;0.4),J12+0.4,
IF(AND(J78&lt;=-1.55,'Criteria results'!$F$5=7,'Criteria results'!$F$6&lt;0.25),J12+0.25,
J12+'Criteria results'!$F$6)),J12)</f>
        <v>-0.64168910000000001</v>
      </c>
      <c r="L12" s="96">
        <f>IF(L10&lt;=$C$6,
IF(AND(K78&lt;=-1.55,'Criteria results'!$F$5=4,'Criteria results'!$F$6&lt;0.4),K12+0.4,
IF(AND(K78&lt;=-1.55,'Criteria results'!$F$5=7,'Criteria results'!$F$6&lt;0.25),K12+0.25,
K12+'Criteria results'!$F$6)),K12)</f>
        <v>-0.64168910000000001</v>
      </c>
      <c r="M12" s="96">
        <f>IF(M10&lt;=$C$6,
IF(AND(L78&lt;=-1.55,'Criteria results'!$F$5=4,'Criteria results'!$F$6&lt;0.4),L12+0.4,
IF(AND(L78&lt;=-1.55,'Criteria results'!$F$5=7,'Criteria results'!$F$6&lt;0.25),L12+0.25,
L12+'Criteria results'!$F$6)),L12)</f>
        <v>-0.64168910000000001</v>
      </c>
      <c r="N12" s="96">
        <f>M12</f>
        <v>-0.64168910000000001</v>
      </c>
      <c r="O12" s="96">
        <f t="shared" ref="O12:W12" si="0">N12</f>
        <v>-0.64168910000000001</v>
      </c>
      <c r="P12" s="96">
        <f t="shared" si="0"/>
        <v>-0.64168910000000001</v>
      </c>
      <c r="Q12" s="96">
        <f t="shared" si="0"/>
        <v>-0.64168910000000001</v>
      </c>
      <c r="R12" s="96">
        <f t="shared" si="0"/>
        <v>-0.64168910000000001</v>
      </c>
      <c r="S12" s="96">
        <f t="shared" si="0"/>
        <v>-0.64168910000000001</v>
      </c>
      <c r="T12" s="96">
        <f t="shared" si="0"/>
        <v>-0.64168910000000001</v>
      </c>
      <c r="U12" s="96">
        <f t="shared" si="0"/>
        <v>-0.64168910000000001</v>
      </c>
      <c r="V12" s="96">
        <f t="shared" si="0"/>
        <v>-0.64168910000000001</v>
      </c>
      <c r="W12" s="96">
        <f t="shared" si="0"/>
        <v>-0.64168910000000001</v>
      </c>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5"/>
    </row>
    <row r="13" spans="1:51" x14ac:dyDescent="0.2">
      <c r="B13" s="273" t="s">
        <v>142</v>
      </c>
      <c r="C13" s="18"/>
      <c r="D13" s="18"/>
      <c r="E13" s="18"/>
      <c r="F13" s="188"/>
      <c r="G13" s="188">
        <f>G12-F12</f>
        <v>0</v>
      </c>
      <c r="H13" s="188">
        <f t="shared" ref="H13:W13" si="1">H12-G12</f>
        <v>0</v>
      </c>
      <c r="I13" s="188">
        <f t="shared" si="1"/>
        <v>0</v>
      </c>
      <c r="J13" s="188">
        <f t="shared" si="1"/>
        <v>0</v>
      </c>
      <c r="K13" s="188">
        <f t="shared" si="1"/>
        <v>0</v>
      </c>
      <c r="L13" s="188">
        <f t="shared" si="1"/>
        <v>0</v>
      </c>
      <c r="M13" s="188">
        <f t="shared" si="1"/>
        <v>0</v>
      </c>
      <c r="N13" s="188">
        <f t="shared" si="1"/>
        <v>0</v>
      </c>
      <c r="O13" s="188">
        <f t="shared" si="1"/>
        <v>0</v>
      </c>
      <c r="P13" s="188">
        <f t="shared" si="1"/>
        <v>0</v>
      </c>
      <c r="Q13" s="188">
        <f t="shared" si="1"/>
        <v>0</v>
      </c>
      <c r="R13" s="188">
        <f t="shared" si="1"/>
        <v>0</v>
      </c>
      <c r="S13" s="188">
        <f t="shared" si="1"/>
        <v>0</v>
      </c>
      <c r="T13" s="188">
        <f t="shared" si="1"/>
        <v>0</v>
      </c>
      <c r="U13" s="188">
        <f t="shared" si="1"/>
        <v>0</v>
      </c>
      <c r="V13" s="188">
        <f t="shared" si="1"/>
        <v>0</v>
      </c>
      <c r="W13" s="188">
        <f t="shared" si="1"/>
        <v>0</v>
      </c>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row>
    <row r="14" spans="1:51" x14ac:dyDescent="0.2">
      <c r="B14" s="15" t="s">
        <v>27</v>
      </c>
      <c r="C14" s="1">
        <f>'Input data'!C14</f>
        <v>-0.1033785</v>
      </c>
      <c r="D14" s="2">
        <f>'Input data'!D14</f>
        <v>-0.1877838</v>
      </c>
      <c r="E14" s="2">
        <f>'Input data'!E14</f>
        <v>0.48351880000000003</v>
      </c>
      <c r="F14" s="2">
        <f>'Input data'!F14</f>
        <v>0</v>
      </c>
      <c r="G14" s="2">
        <f>'Input data'!G14</f>
        <v>0</v>
      </c>
      <c r="H14" s="2">
        <f>0</f>
        <v>0</v>
      </c>
      <c r="I14" s="2">
        <f>0</f>
        <v>0</v>
      </c>
      <c r="J14" s="2">
        <f>0</f>
        <v>0</v>
      </c>
      <c r="K14" s="2">
        <f>0</f>
        <v>0</v>
      </c>
      <c r="L14" s="2">
        <f>0</f>
        <v>0</v>
      </c>
      <c r="M14" s="2">
        <f>0</f>
        <v>0</v>
      </c>
      <c r="N14" s="2">
        <f>0</f>
        <v>0</v>
      </c>
      <c r="O14" s="2">
        <f>0</f>
        <v>0</v>
      </c>
      <c r="P14" s="2">
        <f>0</f>
        <v>0</v>
      </c>
      <c r="Q14" s="2">
        <f>0</f>
        <v>0</v>
      </c>
      <c r="R14" s="2">
        <f>0</f>
        <v>0</v>
      </c>
      <c r="S14" s="2">
        <f>0</f>
        <v>0</v>
      </c>
      <c r="T14" s="2">
        <f>0</f>
        <v>0</v>
      </c>
      <c r="U14" s="2">
        <f>0</f>
        <v>0</v>
      </c>
      <c r="V14" s="2">
        <f>0</f>
        <v>0</v>
      </c>
      <c r="W14" s="2">
        <f>0</f>
        <v>0</v>
      </c>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5"/>
    </row>
    <row r="15" spans="1:51" x14ac:dyDescent="0.2">
      <c r="B15" s="15" t="s">
        <v>59</v>
      </c>
      <c r="C15" s="1">
        <f>'Input data'!C15</f>
        <v>-0.60671679999999995</v>
      </c>
      <c r="D15" s="2">
        <f>'Input data'!D15</f>
        <v>3.1287919999999998</v>
      </c>
      <c r="E15" s="2">
        <f>'Input data'!E15</f>
        <v>-0.33130710000000002</v>
      </c>
      <c r="F15" s="2">
        <f>'Input data'!F15</f>
        <v>0.6</v>
      </c>
      <c r="G15" s="2">
        <f>'Input data'!G15</f>
        <v>0.9</v>
      </c>
      <c r="H15" s="2">
        <f>'Input data'!H15</f>
        <v>0</v>
      </c>
      <c r="I15" s="2">
        <f>'Input data'!I15</f>
        <v>0</v>
      </c>
      <c r="J15" s="2">
        <f>'Input data'!J15</f>
        <v>0</v>
      </c>
      <c r="K15" s="2">
        <f>'Input data'!K15</f>
        <v>0</v>
      </c>
      <c r="L15" s="2">
        <f>'Input data'!L15</f>
        <v>0</v>
      </c>
      <c r="M15" s="2">
        <f>'Input data'!M15</f>
        <v>0</v>
      </c>
      <c r="N15" s="2">
        <f>'Input data'!N15</f>
        <v>0</v>
      </c>
      <c r="O15" s="2">
        <f>'Input data'!O15</f>
        <v>0</v>
      </c>
      <c r="P15" s="2">
        <f>'Input data'!P15</f>
        <v>0</v>
      </c>
      <c r="Q15" s="2">
        <f>'Input data'!Q15</f>
        <v>0</v>
      </c>
      <c r="R15" s="2">
        <f>'Input data'!R15</f>
        <v>0</v>
      </c>
      <c r="S15" s="2">
        <f>'Input data'!S15</f>
        <v>0</v>
      </c>
      <c r="T15" s="2">
        <f>'Input data'!T15</f>
        <v>0</v>
      </c>
      <c r="U15" s="2">
        <f>'Input data'!U15</f>
        <v>0</v>
      </c>
      <c r="V15" s="2">
        <f>'Input data'!V15</f>
        <v>0</v>
      </c>
      <c r="W15" s="2">
        <f>'Input data'!W15</f>
        <v>0</v>
      </c>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5"/>
    </row>
    <row r="16" spans="1:51" ht="5.65" customHeight="1" x14ac:dyDescent="0.2">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ht="11.25" customHeight="1" x14ac:dyDescent="0.2">
      <c r="B17" s="19" t="str">
        <f>'Input data'!B19</f>
        <v>Cost of ageing and selected public revenue (based on the Commission-Council 2024 Ageing Report ("AR 2024"))</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row>
    <row r="18" spans="1:50" x14ac:dyDescent="0.2">
      <c r="A18" s="46"/>
      <c r="B18" s="15" t="s">
        <v>30</v>
      </c>
      <c r="C18" s="1">
        <f>'Input data'!C20</f>
        <v>0</v>
      </c>
      <c r="D18" s="79">
        <f>'Input data'!D20</f>
        <v>18.197429999999997</v>
      </c>
      <c r="E18" s="79">
        <f>'Input data'!E20</f>
        <v>18.057920000000003</v>
      </c>
      <c r="F18" s="79">
        <f>'Input data'!F20</f>
        <v>18.079909999999998</v>
      </c>
      <c r="G18" s="79">
        <f>'Input data'!G20</f>
        <v>18.066780000000001</v>
      </c>
      <c r="H18" s="79">
        <f>'Input data'!H20</f>
        <v>18.131349999999998</v>
      </c>
      <c r="I18" s="79">
        <f>'Input data'!I20</f>
        <v>18.327549999999995</v>
      </c>
      <c r="J18" s="79">
        <f>'Input data'!J20</f>
        <v>18.389009999999999</v>
      </c>
      <c r="K18" s="79">
        <f>'Input data'!K20</f>
        <v>18.522680000000001</v>
      </c>
      <c r="L18" s="79">
        <f>'Input data'!L20</f>
        <v>18.676760000000002</v>
      </c>
      <c r="M18" s="79">
        <f>'Input data'!M20</f>
        <v>18.855719999999998</v>
      </c>
      <c r="N18" s="79">
        <f>'Input data'!N20</f>
        <v>19.032749999999997</v>
      </c>
      <c r="O18" s="79">
        <f>'Input data'!O20</f>
        <v>19.171200000000002</v>
      </c>
      <c r="P18" s="79">
        <f>'Input data'!P20</f>
        <v>19.30218</v>
      </c>
      <c r="Q18" s="79">
        <f>'Input data'!Q20</f>
        <v>19.407900000000001</v>
      </c>
      <c r="R18" s="79">
        <f>'Input data'!R20</f>
        <v>19.539800000000003</v>
      </c>
      <c r="S18" s="79">
        <f>'Input data'!S20</f>
        <v>19.68159</v>
      </c>
      <c r="T18" s="79">
        <f>'Input data'!T20</f>
        <v>19.792939999999998</v>
      </c>
      <c r="U18" s="79">
        <f>'Input data'!U20</f>
        <v>19.908730000000002</v>
      </c>
      <c r="V18" s="79">
        <f>'Input data'!V20</f>
        <v>20.013470000000002</v>
      </c>
      <c r="W18" s="79">
        <f>'Input data'!W20</f>
        <v>20.083189999999998</v>
      </c>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19" spans="1:50" x14ac:dyDescent="0.2">
      <c r="A19" s="46"/>
      <c r="B19" s="15" t="s">
        <v>36</v>
      </c>
      <c r="C19" s="1">
        <f>'Input data'!C26</f>
        <v>0.84586609999999995</v>
      </c>
      <c r="D19" s="79">
        <f>'Input data'!D26</f>
        <v>1.490273</v>
      </c>
      <c r="E19" s="79">
        <f>'Input data'!E26</f>
        <v>1.4554469999999999</v>
      </c>
      <c r="F19" s="79">
        <f>'Input data'!F26</f>
        <v>1.4206209999999999</v>
      </c>
      <c r="G19" s="79">
        <f>'Input data'!G26</f>
        <v>1.3857950000000001</v>
      </c>
      <c r="H19" s="79">
        <f>'Input data'!H26</f>
        <v>1.3509679999999999</v>
      </c>
      <c r="I19" s="79">
        <f>'Input data'!I26</f>
        <v>1.3161419999999999</v>
      </c>
      <c r="J19" s="79">
        <f>'Input data'!J26</f>
        <v>1.2813159999999999</v>
      </c>
      <c r="K19" s="79">
        <f>'Input data'!K26</f>
        <v>1.246489</v>
      </c>
      <c r="L19" s="79">
        <f>'Input data'!L26</f>
        <v>1.2116629999999999</v>
      </c>
      <c r="M19" s="79">
        <f>'Input data'!M26</f>
        <v>1.1768369999999999</v>
      </c>
      <c r="N19" s="79">
        <f>'Input data'!N26</f>
        <v>1.1420110000000001</v>
      </c>
      <c r="O19" s="79">
        <f>'Input data'!O26</f>
        <v>1.1071839999999999</v>
      </c>
      <c r="P19" s="79">
        <f>'Input data'!P26</f>
        <v>1.0723579999999999</v>
      </c>
      <c r="Q19" s="79">
        <f>'Input data'!Q26</f>
        <v>1.0375319999999999</v>
      </c>
      <c r="R19" s="79">
        <f>'Input data'!R26</f>
        <v>1.002705</v>
      </c>
      <c r="S19" s="79">
        <f>'Input data'!S26</f>
        <v>0.96787920000000005</v>
      </c>
      <c r="T19" s="79">
        <f>'Input data'!T26</f>
        <v>0.93305300000000002</v>
      </c>
      <c r="U19" s="79">
        <f>'Input data'!U26</f>
        <v>0.89822679999999999</v>
      </c>
      <c r="V19" s="79">
        <f>'Input data'!V26</f>
        <v>0.86340059999999996</v>
      </c>
      <c r="W19" s="79">
        <f>'Input data'!W26</f>
        <v>0.82857429999999999</v>
      </c>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row>
    <row r="21" spans="1:50" x14ac:dyDescent="0.2">
      <c r="B21" s="17" t="s">
        <v>60</v>
      </c>
    </row>
    <row r="22" spans="1:50" ht="10.5" customHeight="1" x14ac:dyDescent="0.2">
      <c r="B22" s="19" t="s">
        <v>61</v>
      </c>
    </row>
    <row r="23" spans="1:50" x14ac:dyDescent="0.2">
      <c r="B23" s="15" t="s">
        <v>39</v>
      </c>
      <c r="C23" s="23">
        <f>'Input data'!C31</f>
        <v>772.95439999999996</v>
      </c>
      <c r="D23" s="78">
        <f>'Baseline NFPC'!D22</f>
        <v>806.41496215339191</v>
      </c>
      <c r="E23" s="78">
        <f>'Baseline NFPC'!E22</f>
        <v>807.19736207797234</v>
      </c>
      <c r="F23" s="78">
        <f>'Baseline NFPC'!F22</f>
        <v>813.33542319958065</v>
      </c>
      <c r="G23" s="23">
        <f>IF(AND(G50&gt;1,F50&gt;1),IF(AND(G50&gt;0,F50&gt;0),G27*(G51/100+1),0)+IF(G50&gt;0,F23*(1+G52/100),0)-F23*(1+'Input data'!G30/100),IF(G50=1,G27,F23*(1+G52/100)))</f>
        <v>825.1665987997992</v>
      </c>
      <c r="H23" s="23">
        <f>IF(AND(H50&gt;1,G50&gt;1),IF(AND(H50&gt;0,G50&gt;0),H27*(H51/100+1),0)+IF(H50&gt;0,G23*(1+H52/100),0)-G23*(1+'Input data'!H30/100),IF(H50=1,H27,G23*(1+H52/100)))</f>
        <v>840.45157229266727</v>
      </c>
      <c r="I23" s="23">
        <f>IF(AND(I50&gt;1,H50&gt;1),IF(AND(I50&gt;0,H50&gt;0),I27*(I51/100+1),0)+IF(I50&gt;0,H23*(1+I52/100),0)-H23*(1+'Input data'!I30/100),IF(I50=1,I27,H23*(1+I52/100)))</f>
        <v>854.76059649157889</v>
      </c>
      <c r="J23" s="23">
        <f>IF(AND(J50&gt;1,I50&gt;1),IF(AND(J50&gt;0,I50&gt;0),J27*(J51/100+1),0)+IF(J50&gt;0,I23*(1+J52/100),0)-I23*(1+'Input data'!J30/100),IF(J50=1,J27,I23*(1+J52/100)))</f>
        <v>866.34256838361591</v>
      </c>
      <c r="K23" s="23">
        <f>IF(AND(K50&gt;1,J50&gt;1),IF(AND(K50&gt;0,J50&gt;0),K27*(K51/100+1),0)+IF(K50&gt;0,J23*(1+K52/100),0)-J23*(1+'Input data'!K30/100),IF(K50=1,K27,J23*(1+K52/100)))</f>
        <v>875.54819456387497</v>
      </c>
      <c r="L23" s="23">
        <f>IF(AND(L50&gt;1,K50&gt;1),IF(AND(L50&gt;0,K50&gt;0),L27*(L51/100+1),0)+IF(L50&gt;0,K23*(1+L52/100),0)-K23*(1+'Input data'!L30/100),IF(L50=1,L27,K23*(1+L52/100)))</f>
        <v>884.58976188208737</v>
      </c>
      <c r="M23" s="23">
        <f>IF(AND(M50&gt;1,L50&gt;1),IF(AND(M50&gt;0,L50&gt;0),M27*(M51/100+1),0)+IF(M50&gt;0,L23*(1+M52/100),0)-L23*(1+'Input data'!M30/100),IF(M50=1,M27,L23*(1+M52/100)))</f>
        <v>893.41434619518543</v>
      </c>
      <c r="N23" s="23">
        <f>IF(AND(N50&gt;1,M50&gt;1),IF(AND(N50&gt;0,M50&gt;0),N27*(N51/100+1),0)+IF(N50&gt;0,M23*(1+N52/100),0)-M23*(1+'Input data'!N30/100),IF(N50=1,N27,M23*(1+N52/100)))</f>
        <v>902.1256497838375</v>
      </c>
      <c r="O23" s="23">
        <f>IF(AND(O50&gt;1,N50&gt;1),IF(AND(O50&gt;0,N50&gt;0),O27*(O51/100+1),0)+IF(O50&gt;0,N23*(1+O52/100),0)-N23*(1+'Input data'!O30/100),IF(O50=1,O27,N23*(1+O52/100)))</f>
        <v>911.03397458433335</v>
      </c>
      <c r="P23" s="23">
        <f>IF(AND(P50&gt;1,O50&gt;1),IF(AND(P50&gt;0,O50&gt;0),P27*(P51/100+1),0)+IF(P50&gt;0,O23*(1+P52/100),0)-O23*(1+'Input data'!P30/100),IF(P50=1,P27,O23*(1+P52/100)))</f>
        <v>920.28104230908241</v>
      </c>
      <c r="Q23" s="23">
        <f>IF(AND(Q50&gt;1,P50&gt;1),IF(AND(Q50&gt;0,P50&gt;0),Q27*(Q51/100+1),0)+IF(Q50&gt;0,P23*(1+Q52/100),0)-P23*(1+'Input data'!Q30/100),IF(Q50=1,Q27,P23*(1+Q52/100)))</f>
        <v>929.87527586789849</v>
      </c>
      <c r="R23" s="23">
        <f>IF(AND(R50&gt;1,Q50&gt;1),IF(AND(R50&gt;0,Q50&gt;0),R27*(R51/100+1),0)+IF(R50&gt;0,Q23*(1+R52/100),0)-Q23*(1+'Input data'!R30/100),IF(R50=1,R27,Q23*(1+R52/100)))</f>
        <v>939.82547134859226</v>
      </c>
      <c r="S23" s="23">
        <f>IF(AND(S50&gt;1,R50&gt;1),IF(AND(S50&gt;0,R50&gt;0),S27*(S51/100+1),0)+IF(S50&gt;0,R23*(1+S52/100),0)-R23*(1+'Input data'!S30/100),IF(S50=1,S27,R23*(1+S52/100)))</f>
        <v>950.91378601244014</v>
      </c>
      <c r="T23" s="23">
        <f>IF(AND(T50&gt;1,S50&gt;1),IF(AND(T50&gt;0,S50&gt;0),T27*(T51/100+1),0)+IF(T50&gt;0,S23*(1+T52/100),0)-S23*(1+'Input data'!T30/100),IF(T50=1,T27,S23*(1+T52/100)))</f>
        <v>963.14035019885239</v>
      </c>
      <c r="U23" s="23">
        <f>IF(AND(U50&gt;1,T50&gt;1),IF(AND(U50&gt;0,T50&gt;0),U27*(U51/100+1),0)+IF(U50&gt;0,T23*(1+U52/100),0)-T23*(1+'Input data'!U30/100),IF(U50=1,U27,T23*(1+U52/100)))</f>
        <v>977.08328037271667</v>
      </c>
      <c r="V23" s="23">
        <f>IF(AND(V50&gt;1,U50&gt;1),IF(AND(V50&gt;0,U50&gt;0),V27*(V51/100+1),0)+IF(V50&gt;0,U23*(1+V52/100),0)-U23*(1+'Input data'!V30/100),IF(V50=1,V27,U23*(1+V52/100)))</f>
        <v>992.83797637293526</v>
      </c>
      <c r="W23" s="23">
        <f>IF(AND(W50&gt;1,V50&gt;1),IF(AND(W50&gt;0,V50&gt;0),W27*(W51/100+1),0)+IF(W50&gt;0,V23*(1+W52/100),0)-V23*(1+'Input data'!W30/100),IF(W50=1,W27,V23*(1+W52/100)))</f>
        <v>1009.363000004421</v>
      </c>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row>
    <row r="24" spans="1:50" x14ac:dyDescent="0.2">
      <c r="A24" s="46"/>
      <c r="B24" s="47" t="s">
        <v>38</v>
      </c>
      <c r="C24" s="23">
        <f>+'Input data'!C30</f>
        <v>6.1918569999999997</v>
      </c>
      <c r="D24" s="78">
        <f>'Baseline NFPC'!D23</f>
        <v>4.3289179999999998</v>
      </c>
      <c r="E24" s="78">
        <f>'Baseline NFPC'!E23</f>
        <v>9.7021999999999997E-2</v>
      </c>
      <c r="F24" s="78">
        <f>'Baseline NFPC'!F23</f>
        <v>0.76041639999999999</v>
      </c>
      <c r="G24" s="23">
        <f t="shared" ref="G24:S24" si="2">100*(G23/F23-1)</f>
        <v>1.4546490000000079</v>
      </c>
      <c r="H24" s="23">
        <f t="shared" si="2"/>
        <v>1.8523499999999915</v>
      </c>
      <c r="I24" s="23">
        <f t="shared" si="2"/>
        <v>1.7025400000000079</v>
      </c>
      <c r="J24" s="23">
        <f t="shared" si="2"/>
        <v>1.3549959999999972</v>
      </c>
      <c r="K24" s="23">
        <f t="shared" si="2"/>
        <v>1.0625850000000048</v>
      </c>
      <c r="L24" s="23">
        <f t="shared" si="2"/>
        <v>1.032674999999994</v>
      </c>
      <c r="M24" s="23">
        <f t="shared" si="2"/>
        <v>0.99759059999999788</v>
      </c>
      <c r="N24" s="23">
        <f t="shared" si="2"/>
        <v>0.97505749999999836</v>
      </c>
      <c r="O24" s="23">
        <f t="shared" si="2"/>
        <v>0.9874815999999953</v>
      </c>
      <c r="P24" s="23">
        <f t="shared" si="2"/>
        <v>1.0150080000000061</v>
      </c>
      <c r="Q24" s="23">
        <f t="shared" si="2"/>
        <v>1.0425329999999899</v>
      </c>
      <c r="R24" s="23">
        <f t="shared" si="2"/>
        <v>1.070057000000002</v>
      </c>
      <c r="S24" s="23">
        <f t="shared" si="2"/>
        <v>1.1798269999999889</v>
      </c>
      <c r="T24" s="23">
        <f>100*(T23/S23-1)</f>
        <v>1.2857700000000083</v>
      </c>
      <c r="U24" s="23">
        <f t="shared" ref="U24" si="3">100*(U23/T23-1)</f>
        <v>1.4476530000000043</v>
      </c>
      <c r="V24" s="23">
        <f t="shared" ref="V24" si="4">100*(V23/U23-1)</f>
        <v>1.6124210000000083</v>
      </c>
      <c r="W24" s="23">
        <f t="shared" ref="W24" si="5">100*(W23/V23-1)</f>
        <v>1.6644230000000038</v>
      </c>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row>
    <row r="25" spans="1:50" ht="5.25" customHeight="1" x14ac:dyDescent="0.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row>
    <row r="26" spans="1:50" ht="15" x14ac:dyDescent="0.2">
      <c r="A26" s="159"/>
      <c r="B26" s="19" t="s">
        <v>62</v>
      </c>
      <c r="C26" s="158"/>
      <c r="D26" s="158"/>
      <c r="E26" s="158"/>
      <c r="F26" s="158"/>
    </row>
    <row r="27" spans="1:50" x14ac:dyDescent="0.2">
      <c r="B27" s="15" t="s">
        <v>39</v>
      </c>
      <c r="C27" s="23">
        <f>'Input data'!C34</f>
        <v>775.59760000000006</v>
      </c>
      <c r="D27" s="78">
        <f>+C27*(1+'Input data'!D33/100)</f>
        <v>790.54666204180012</v>
      </c>
      <c r="E27" s="78">
        <f>+D27*(1+'Input data'!E33/100)</f>
        <v>807.34577070472176</v>
      </c>
      <c r="F27" s="78">
        <f>+E27*(1+'Input data'!F33/100)</f>
        <v>822.09655115099417</v>
      </c>
      <c r="G27" s="23">
        <f>+F27*(1+'Input data'!G33/100)</f>
        <v>835.78242814917689</v>
      </c>
      <c r="H27" s="23">
        <f>+G27*(1+'Input data'!H33/100)</f>
        <v>847.62915095655899</v>
      </c>
      <c r="I27" s="23">
        <f>+H27*(1+'Input data'!I33/100)</f>
        <v>857.18014299033098</v>
      </c>
      <c r="J27" s="23">
        <f>+I27*(1+'Input data'!J33/100)</f>
        <v>866.34269583118032</v>
      </c>
      <c r="K27" s="23">
        <f>+J27*(1+'Input data'!K33/100)</f>
        <v>875.54833202910504</v>
      </c>
      <c r="L27" s="23">
        <f>+K27*(1+'Input data'!L33/100)</f>
        <v>884.58988325591997</v>
      </c>
      <c r="M27" s="23">
        <f>+L27*(1+'Input data'!M33/100)</f>
        <v>893.41445108803441</v>
      </c>
      <c r="N27" s="23">
        <f>+M27*(1+'Input data'!N33/100)</f>
        <v>902.1257271101897</v>
      </c>
      <c r="O27" s="23">
        <f>+N27*(1+'Input data'!O33/100)</f>
        <v>911.03404365301174</v>
      </c>
      <c r="P27" s="23">
        <f>+O27*(1+'Input data'!P33/100)</f>
        <v>920.28109385813241</v>
      </c>
      <c r="Q27" s="23">
        <f>+P27*(1+'Input data'!Q33/100)</f>
        <v>929.87531875155344</v>
      </c>
      <c r="R27" s="23">
        <f>+Q27*(1+'Input data'!R33/100)</f>
        <v>939.82552398987991</v>
      </c>
      <c r="S27" s="23">
        <f>+R27*(1+'Input data'!S33/100)</f>
        <v>950.9138674695696</v>
      </c>
      <c r="T27" s="23">
        <f>+S27*(1+'Input data'!T33/100)</f>
        <v>963.14041368505571</v>
      </c>
      <c r="U27" s="23">
        <f>+T27*(1+'Input data'!U33/100)</f>
        <v>977.08334477797985</v>
      </c>
      <c r="V27" s="23">
        <f>+U27*(1+'Input data'!V33/100)</f>
        <v>992.83804181668245</v>
      </c>
      <c r="W27" s="23">
        <f>+V27*(1+'Input data'!W33/100)</f>
        <v>1009.3630566090486</v>
      </c>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row>
    <row r="28" spans="1:50" ht="5.25" customHeight="1" x14ac:dyDescent="0.2">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row>
    <row r="29" spans="1:50" x14ac:dyDescent="0.2">
      <c r="B29" s="19" t="s">
        <v>63</v>
      </c>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row>
    <row r="30" spans="1:50" x14ac:dyDescent="0.2">
      <c r="B30" s="15" t="s">
        <v>63</v>
      </c>
      <c r="C30" s="23">
        <f>100*(C23/C27-1)</f>
        <v>-0.34079527837632684</v>
      </c>
      <c r="D30" s="78">
        <f t="shared" ref="D30:T30" si="6">100*(D23/D27-1)</f>
        <v>2.0072566078019438</v>
      </c>
      <c r="E30" s="78">
        <f t="shared" si="6"/>
        <v>-1.8382288250529122E-2</v>
      </c>
      <c r="F30" s="78">
        <f t="shared" si="6"/>
        <v>-1.0657054745147998</v>
      </c>
      <c r="G30" s="23">
        <f t="shared" si="6"/>
        <v>-1.270166611768353</v>
      </c>
      <c r="H30" s="23">
        <f t="shared" si="6"/>
        <v>-0.84678289506581184</v>
      </c>
      <c r="I30" s="23">
        <f t="shared" si="6"/>
        <v>-0.28226814614619178</v>
      </c>
      <c r="J30" s="23">
        <f t="shared" si="6"/>
        <v>-1.471098735050802E-5</v>
      </c>
      <c r="K30" s="23">
        <f t="shared" si="6"/>
        <v>-1.5700473066093679E-5</v>
      </c>
      <c r="L30" s="23">
        <f t="shared" si="6"/>
        <v>-1.3720915748027807E-5</v>
      </c>
      <c r="M30" s="23">
        <f>100*(M23/M27-1)</f>
        <v>-1.1740670735616021E-5</v>
      </c>
      <c r="N30" s="23">
        <f t="shared" si="6"/>
        <v>-8.5715715525402913E-6</v>
      </c>
      <c r="O30" s="23">
        <f t="shared" si="6"/>
        <v>-7.5813498812138391E-6</v>
      </c>
      <c r="P30" s="23">
        <f t="shared" si="6"/>
        <v>-5.6014461624620537E-6</v>
      </c>
      <c r="Q30" s="23">
        <f t="shared" si="6"/>
        <v>-4.6117639707077274E-6</v>
      </c>
      <c r="R30" s="23">
        <f t="shared" si="6"/>
        <v>-5.6011766336183655E-6</v>
      </c>
      <c r="S30" s="23">
        <f t="shared" si="6"/>
        <v>-8.5661942983428219E-6</v>
      </c>
      <c r="T30" s="23">
        <f t="shared" si="6"/>
        <v>-6.5915833680207925E-6</v>
      </c>
      <c r="U30" s="23">
        <f t="shared" ref="U30:W30" si="7">100*(U23/U27-1)</f>
        <v>-6.5915833569185622E-6</v>
      </c>
      <c r="V30" s="23">
        <f t="shared" si="7"/>
        <v>-6.5915833680207925E-6</v>
      </c>
      <c r="W30" s="23">
        <f t="shared" si="7"/>
        <v>-5.6079551558063656E-6</v>
      </c>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row>
    <row r="31" spans="1:50" ht="4.9000000000000004" customHeight="1" x14ac:dyDescent="0.2">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row>
    <row r="32" spans="1:50" x14ac:dyDescent="0.2">
      <c r="B32" s="19" t="s">
        <v>64</v>
      </c>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row>
    <row r="33" spans="2:51" x14ac:dyDescent="0.2">
      <c r="B33" s="15" t="s">
        <v>38</v>
      </c>
      <c r="C33" s="1">
        <f t="shared" ref="C33:W33" si="8">100*((1+C24/100)*(1+C42/100)-1)</f>
        <v>9.2974516629064077</v>
      </c>
      <c r="D33" s="2">
        <f t="shared" si="8"/>
        <v>10.103756264787123</v>
      </c>
      <c r="E33" s="2">
        <f t="shared" si="8"/>
        <v>7.8803492201822367</v>
      </c>
      <c r="F33" s="2">
        <f>100*((1+F24/100)*(1+F42/100)-1)</f>
        <v>4.5152331650627264</v>
      </c>
      <c r="G33" s="1">
        <f>100*((1+G24/100)*(1+G42/100)-1)</f>
        <v>3.7394442191536426</v>
      </c>
      <c r="H33" s="1">
        <f t="shared" si="8"/>
        <v>4.1840370058652487</v>
      </c>
      <c r="I33" s="1">
        <f t="shared" si="8"/>
        <v>4.0686770527858185</v>
      </c>
      <c r="J33" s="1">
        <f t="shared" si="8"/>
        <v>3.7507975228241008</v>
      </c>
      <c r="K33" s="1">
        <f t="shared" si="8"/>
        <v>3.4891158571153102</v>
      </c>
      <c r="L33" s="1">
        <f t="shared" si="8"/>
        <v>3.4961178375986224</v>
      </c>
      <c r="M33" s="1">
        <f t="shared" si="8"/>
        <v>3.4977950450861606</v>
      </c>
      <c r="N33" s="1">
        <f t="shared" si="8"/>
        <v>3.5123128012088278</v>
      </c>
      <c r="O33" s="1">
        <f t="shared" si="8"/>
        <v>3.562662380800008</v>
      </c>
      <c r="P33" s="1">
        <f t="shared" si="8"/>
        <v>3.5631115768000043</v>
      </c>
      <c r="Q33" s="1">
        <f t="shared" si="8"/>
        <v>3.5635441983499883</v>
      </c>
      <c r="R33" s="1">
        <f t="shared" si="8"/>
        <v>3.5639606564749959</v>
      </c>
      <c r="S33" s="1">
        <f t="shared" si="8"/>
        <v>3.6486147787999856</v>
      </c>
      <c r="T33" s="1">
        <f t="shared" si="8"/>
        <v>3.7292892012499967</v>
      </c>
      <c r="U33" s="1">
        <f>100*((1+U24/100)*(1+U42/100)-1)</f>
        <v>3.8671795240500018</v>
      </c>
      <c r="V33" s="1">
        <f t="shared" si="8"/>
        <v>4.0079338250750052</v>
      </c>
      <c r="W33" s="1">
        <f t="shared" si="8"/>
        <v>4.0332040559000193</v>
      </c>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row>
    <row r="35" spans="2:51" x14ac:dyDescent="0.2">
      <c r="B35" s="17" t="s">
        <v>113</v>
      </c>
    </row>
    <row r="36" spans="2:51" x14ac:dyDescent="0.2">
      <c r="B36" s="15" t="s">
        <v>41</v>
      </c>
      <c r="C36" s="23">
        <f>'Input data'!C37</f>
        <v>1.082266</v>
      </c>
      <c r="D36" s="78">
        <f>'Input data'!D37</f>
        <v>1.1515390000000001</v>
      </c>
      <c r="E36" s="78">
        <f>'Input data'!E37</f>
        <v>1.3576170000000001</v>
      </c>
      <c r="F36" s="78">
        <f>'Input data'!F37</f>
        <v>1.5744320000000001</v>
      </c>
      <c r="G36" s="78">
        <f>'Input data'!G37</f>
        <v>1.603952</v>
      </c>
      <c r="H36" s="23">
        <f t="shared" ref="H36:W36" si="9">H99</f>
        <v>1.7774600493041111</v>
      </c>
      <c r="I36" s="23">
        <f t="shared" si="9"/>
        <v>1.9068787269355749</v>
      </c>
      <c r="J36" s="23">
        <f t="shared" si="9"/>
        <v>2.0167109782312553</v>
      </c>
      <c r="K36" s="23">
        <f t="shared" si="9"/>
        <v>2.1127193249188929</v>
      </c>
      <c r="L36" s="23">
        <f t="shared" si="9"/>
        <v>2.2011495146745581</v>
      </c>
      <c r="M36" s="23">
        <f t="shared" si="9"/>
        <v>2.2822900452863868</v>
      </c>
      <c r="N36" s="23">
        <f t="shared" si="9"/>
        <v>2.3564645319633226</v>
      </c>
      <c r="O36" s="23">
        <f t="shared" si="9"/>
        <v>2.4237577777470087</v>
      </c>
      <c r="P36" s="23">
        <f t="shared" si="9"/>
        <v>2.4886298263802731</v>
      </c>
      <c r="Q36" s="23">
        <f t="shared" si="9"/>
        <v>2.5525490768930288</v>
      </c>
      <c r="R36" s="23">
        <f t="shared" si="9"/>
        <v>2.6153036664749534</v>
      </c>
      <c r="S36" s="23">
        <f t="shared" si="9"/>
        <v>2.677102448144105</v>
      </c>
      <c r="T36" s="23">
        <f t="shared" si="9"/>
        <v>2.7380119857658762</v>
      </c>
      <c r="U36" s="23">
        <f t="shared" si="9"/>
        <v>2.7978576362050043</v>
      </c>
      <c r="V36" s="23">
        <f t="shared" si="9"/>
        <v>2.8567430554401976</v>
      </c>
      <c r="W36" s="23">
        <f t="shared" si="9"/>
        <v>2.9146838963784374</v>
      </c>
    </row>
    <row r="37" spans="2:51" x14ac:dyDescent="0.2">
      <c r="B37" s="21" t="s">
        <v>66</v>
      </c>
      <c r="C37" s="1"/>
      <c r="D37" s="2">
        <f>'Input data'!D$39</f>
        <v>1.38</v>
      </c>
      <c r="E37" s="2">
        <f>'Input data'!E$39</f>
        <v>2.79</v>
      </c>
      <c r="F37" s="138">
        <f>'Input data'!F$39</f>
        <v>2.7206269999999999</v>
      </c>
      <c r="G37" s="138">
        <f>'Input data'!G$39</f>
        <v>2.7825880000000001</v>
      </c>
      <c r="H37" s="1">
        <f>G37+($O$37-$G$37)/($O$10-$G$10)</f>
        <v>2.7910632500000001</v>
      </c>
      <c r="I37" s="1">
        <f t="shared" ref="I37:N37" si="10">H37+($O$37-$G$37)/($O$10-$G$10)</f>
        <v>2.7995385000000002</v>
      </c>
      <c r="J37" s="1">
        <f t="shared" si="10"/>
        <v>2.8080137500000002</v>
      </c>
      <c r="K37" s="1">
        <f t="shared" si="10"/>
        <v>2.8164890000000002</v>
      </c>
      <c r="L37" s="1">
        <f t="shared" si="10"/>
        <v>2.8249642500000003</v>
      </c>
      <c r="M37" s="1">
        <f t="shared" si="10"/>
        <v>2.8334395000000003</v>
      </c>
      <c r="N37" s="1">
        <f t="shared" si="10"/>
        <v>2.8419147500000004</v>
      </c>
      <c r="O37" s="179">
        <f>'Input data'!$C$52</f>
        <v>2.85039</v>
      </c>
      <c r="P37" s="1">
        <f>'Baseline NFPC'!P36</f>
        <v>2.9078705</v>
      </c>
      <c r="Q37" s="1">
        <f>'Baseline NFPC'!Q36</f>
        <v>2.9653510000000001</v>
      </c>
      <c r="R37" s="1">
        <f>'Baseline NFPC'!R36</f>
        <v>3.0228315000000001</v>
      </c>
      <c r="S37" s="1">
        <f>'Baseline NFPC'!S36</f>
        <v>3.0803120000000002</v>
      </c>
      <c r="T37" s="1">
        <f>'Baseline NFPC'!T36</f>
        <v>3.1377924999999998</v>
      </c>
      <c r="U37" s="1">
        <f>'Baseline NFPC'!U36</f>
        <v>3.1952730000000003</v>
      </c>
      <c r="V37" s="1">
        <f>'Baseline NFPC'!V36</f>
        <v>3.2527534999999999</v>
      </c>
      <c r="W37" s="1">
        <f>'Baseline NFPC'!W36</f>
        <v>3.3102339999999999</v>
      </c>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5"/>
    </row>
    <row r="38" spans="2:51" x14ac:dyDescent="0.2">
      <c r="B38" s="21" t="s">
        <v>67</v>
      </c>
      <c r="C38" s="1"/>
      <c r="D38" s="2">
        <f>'Input data'!D$38</f>
        <v>0.35</v>
      </c>
      <c r="E38" s="2">
        <f>'Input data'!E$38</f>
        <v>3.43</v>
      </c>
      <c r="F38" s="138">
        <f>'Input data'!F$38</f>
        <v>3.5642079999999998</v>
      </c>
      <c r="G38" s="138">
        <f>'Input data'!G$38</f>
        <v>2.8163749999999999</v>
      </c>
      <c r="H38" s="1">
        <f>G38+($O$38-$G$38)/($O$10-$G$10)</f>
        <v>2.8050893749999997</v>
      </c>
      <c r="I38" s="1">
        <f t="shared" ref="I38:N38" si="11">H38+($O$38-$G$38)/($O$10-$G$10)</f>
        <v>2.7938037499999995</v>
      </c>
      <c r="J38" s="1">
        <f t="shared" si="11"/>
        <v>2.7825181249999993</v>
      </c>
      <c r="K38" s="1">
        <f t="shared" si="11"/>
        <v>2.7712324999999991</v>
      </c>
      <c r="L38" s="1">
        <f t="shared" si="11"/>
        <v>2.7599468749999989</v>
      </c>
      <c r="M38" s="1">
        <f t="shared" si="11"/>
        <v>2.7486612499999987</v>
      </c>
      <c r="N38" s="1">
        <f t="shared" si="11"/>
        <v>2.7373756249999985</v>
      </c>
      <c r="O38" s="179">
        <f>'Input data'!$C$53</f>
        <v>2.7260900000000001</v>
      </c>
      <c r="P38" s="1">
        <f>'Baseline NFPC'!P37</f>
        <v>2.6897855000000002</v>
      </c>
      <c r="Q38" s="1">
        <f>'Baseline NFPC'!Q37</f>
        <v>2.6534810000000002</v>
      </c>
      <c r="R38" s="1">
        <f>'Baseline NFPC'!R37</f>
        <v>2.6171765000000002</v>
      </c>
      <c r="S38" s="1">
        <f>'Baseline NFPC'!S37</f>
        <v>2.5808720000000003</v>
      </c>
      <c r="T38" s="1">
        <f>'Baseline NFPC'!T37</f>
        <v>2.5445675000000003</v>
      </c>
      <c r="U38" s="1">
        <f>'Baseline NFPC'!U37</f>
        <v>2.5082629999999999</v>
      </c>
      <c r="V38" s="1">
        <f>'Baseline NFPC'!V37</f>
        <v>2.4719584999999999</v>
      </c>
      <c r="W38" s="1">
        <f>'Baseline NFPC'!W37</f>
        <v>2.435654</v>
      </c>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5"/>
    </row>
    <row r="39" spans="2:51" s="4" customFormat="1" ht="12.75" x14ac:dyDescent="0.2">
      <c r="B39" s="15" t="s">
        <v>68</v>
      </c>
      <c r="C39" s="23">
        <f>'Baseline NFPC'!C38</f>
        <v>0.10247115</v>
      </c>
      <c r="D39" s="23">
        <f>'Baseline NFPC'!D38</f>
        <v>8.9394059999999997E-2</v>
      </c>
      <c r="E39" s="23">
        <f>'Baseline NFPC'!E38</f>
        <v>8.9314669999999999E-2</v>
      </c>
      <c r="F39" s="23">
        <f>'Baseline NFPC'!F38</f>
        <v>8.8780289999999998E-2</v>
      </c>
      <c r="G39" s="23">
        <f>'Baseline NFPC'!G38</f>
        <v>8.9522768888888882E-2</v>
      </c>
      <c r="H39" s="23">
        <f>'Baseline NFPC'!H38</f>
        <v>9.026524777777778E-2</v>
      </c>
      <c r="I39" s="23">
        <f>'Baseline NFPC'!I38</f>
        <v>9.1007726666666663E-2</v>
      </c>
      <c r="J39" s="23">
        <f>'Baseline NFPC'!J38</f>
        <v>9.1750205555555547E-2</v>
      </c>
      <c r="K39" s="23">
        <f>'Baseline NFPC'!K38</f>
        <v>9.2492684444444445E-2</v>
      </c>
      <c r="L39" s="23">
        <f>'Baseline NFPC'!L38</f>
        <v>9.3235163333333329E-2</v>
      </c>
      <c r="M39" s="23">
        <f>'Baseline NFPC'!M38</f>
        <v>9.3977642222222213E-2</v>
      </c>
      <c r="N39" s="23">
        <f>'Baseline NFPC'!N38</f>
        <v>9.4720121111111111E-2</v>
      </c>
      <c r="O39" s="23">
        <f>'Baseline NFPC'!O38</f>
        <v>9.5462599999999995E-2</v>
      </c>
      <c r="P39" s="23">
        <f>'Baseline NFPC'!P38</f>
        <v>9.5462599999999995E-2</v>
      </c>
      <c r="Q39" s="23">
        <f>'Baseline NFPC'!Q38</f>
        <v>9.5462599999999995E-2</v>
      </c>
      <c r="R39" s="23">
        <f>'Baseline NFPC'!R38</f>
        <v>9.5462599999999995E-2</v>
      </c>
      <c r="S39" s="23">
        <f>'Baseline NFPC'!S38</f>
        <v>9.5462599999999995E-2</v>
      </c>
      <c r="T39" s="23">
        <f>'Baseline NFPC'!T38</f>
        <v>9.5462599999999995E-2</v>
      </c>
      <c r="U39" s="23">
        <f>'Baseline NFPC'!U38</f>
        <v>9.5462599999999995E-2</v>
      </c>
      <c r="V39" s="23">
        <f>'Baseline NFPC'!V38</f>
        <v>9.5462599999999995E-2</v>
      </c>
      <c r="W39" s="23">
        <f>'Baseline NFPC'!W38</f>
        <v>9.5462599999999995E-2</v>
      </c>
    </row>
    <row r="40" spans="2:51" x14ac:dyDescent="0.2">
      <c r="C40" s="1"/>
      <c r="D40" s="1"/>
      <c r="E40" s="82"/>
      <c r="F40" s="82"/>
      <c r="G40" s="82"/>
      <c r="H40" s="82"/>
      <c r="I40" s="82"/>
      <c r="J40" s="82"/>
      <c r="K40" s="82"/>
      <c r="L40" s="82"/>
      <c r="M40" s="82"/>
      <c r="N40" s="82"/>
      <c r="O40" s="1"/>
      <c r="P40" s="1"/>
      <c r="Q40" s="1"/>
      <c r="R40" s="1"/>
      <c r="S40" s="1"/>
      <c r="T40" s="1"/>
      <c r="U40" s="1"/>
      <c r="V40" s="1"/>
      <c r="W40" s="1"/>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5"/>
    </row>
    <row r="41" spans="2:51" x14ac:dyDescent="0.2">
      <c r="B41" s="17" t="s">
        <v>69</v>
      </c>
      <c r="C41" s="1"/>
      <c r="D41" s="1"/>
      <c r="E41" s="1"/>
      <c r="F41" s="1"/>
      <c r="G41" s="1"/>
      <c r="H41" s="1"/>
      <c r="I41" s="1"/>
      <c r="J41" s="1"/>
      <c r="K41" s="1"/>
      <c r="L41" s="1"/>
      <c r="M41" s="1"/>
      <c r="N41" s="1"/>
      <c r="O41" s="1"/>
      <c r="P41" s="1"/>
      <c r="Q41" s="1"/>
      <c r="R41" s="1"/>
      <c r="S41" s="1"/>
      <c r="T41" s="1"/>
      <c r="U41" s="1"/>
      <c r="V41" s="1"/>
      <c r="W41" s="1"/>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5"/>
    </row>
    <row r="42" spans="2:51" x14ac:dyDescent="0.2">
      <c r="B42" s="15" t="s">
        <v>114</v>
      </c>
      <c r="C42" s="1">
        <f>'Input data'!C42</f>
        <v>2.9245130000000001</v>
      </c>
      <c r="D42" s="2">
        <f>'Input data'!D42</f>
        <v>5.5352230000000002</v>
      </c>
      <c r="E42" s="2">
        <f>'Input data'!E42</f>
        <v>7.7757829999999997</v>
      </c>
      <c r="F42" s="2">
        <f>'Input data'!F42</f>
        <v>3.72648</v>
      </c>
      <c r="G42" s="2">
        <f>'Input data'!G42</f>
        <v>2.2520359999999999</v>
      </c>
      <c r="H42" s="1">
        <f>'Baseline NFPC'!H41</f>
        <v>2.2892815</v>
      </c>
      <c r="I42" s="1">
        <f>'Baseline NFPC'!I41</f>
        <v>2.326527</v>
      </c>
      <c r="J42" s="1">
        <f>'Baseline NFPC'!J41</f>
        <v>2.3637725000000001</v>
      </c>
      <c r="K42" s="1">
        <f>'Baseline NFPC'!K41</f>
        <v>2.4010179999999997</v>
      </c>
      <c r="L42" s="1">
        <f>'Baseline NFPC'!L41</f>
        <v>2.4382634999999997</v>
      </c>
      <c r="M42" s="1">
        <f>'Baseline NFPC'!M41</f>
        <v>2.4755089999999997</v>
      </c>
      <c r="N42" s="1">
        <f>'Baseline NFPC'!N41</f>
        <v>2.5127544999999998</v>
      </c>
      <c r="O42" s="179">
        <f>'Baseline NFPC'!O41</f>
        <v>2.5499999999999998</v>
      </c>
      <c r="P42" s="1">
        <f>'Baseline NFPC'!P41</f>
        <v>2.5225</v>
      </c>
      <c r="Q42" s="1">
        <f>'Baseline NFPC'!Q41</f>
        <v>2.4949999999999997</v>
      </c>
      <c r="R42" s="1">
        <f>'Baseline NFPC'!R41</f>
        <v>2.4674999999999998</v>
      </c>
      <c r="S42" s="1">
        <f>'Baseline NFPC'!S41</f>
        <v>2.44</v>
      </c>
      <c r="T42" s="1">
        <f>'Baseline NFPC'!T41</f>
        <v>2.4124999999999996</v>
      </c>
      <c r="U42" s="1">
        <f>'Baseline NFPC'!U41</f>
        <v>2.3849999999999998</v>
      </c>
      <c r="V42" s="1">
        <f>'Baseline NFPC'!V41</f>
        <v>2.3574999999999999</v>
      </c>
      <c r="W42" s="1">
        <f>'Baseline NFPC'!W41</f>
        <v>2.33</v>
      </c>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5"/>
    </row>
    <row r="43" spans="2:51" x14ac:dyDescent="0.2">
      <c r="B43" s="15" t="s">
        <v>70</v>
      </c>
      <c r="C43" s="1">
        <f>'Baseline NFPC'!C42</f>
        <v>1</v>
      </c>
      <c r="D43" s="1">
        <f>'Baseline NFPC'!D42</f>
        <v>1</v>
      </c>
      <c r="E43" s="1">
        <f>'Baseline NFPC'!E42</f>
        <v>1</v>
      </c>
      <c r="F43" s="1">
        <f>'Baseline NFPC'!F42</f>
        <v>1</v>
      </c>
      <c r="G43" s="1">
        <f>'Baseline NFPC'!G42</f>
        <v>0.99999990000000005</v>
      </c>
      <c r="H43" s="1">
        <f>'Baseline NFPC'!H42</f>
        <v>1</v>
      </c>
      <c r="I43" s="1">
        <f>'Baseline NFPC'!I42</f>
        <v>1</v>
      </c>
      <c r="J43" s="1">
        <f>'Baseline NFPC'!J42</f>
        <v>1</v>
      </c>
      <c r="K43" s="1">
        <f>'Baseline NFPC'!K42</f>
        <v>1</v>
      </c>
      <c r="L43" s="1">
        <f>'Baseline NFPC'!L42</f>
        <v>1</v>
      </c>
      <c r="M43" s="1">
        <f>'Baseline NFPC'!M42</f>
        <v>1</v>
      </c>
      <c r="N43" s="1">
        <f>'Baseline NFPC'!N42</f>
        <v>1</v>
      </c>
      <c r="O43" s="1">
        <f>'Baseline NFPC'!O42</f>
        <v>1</v>
      </c>
      <c r="P43" s="1">
        <f>'Baseline NFPC'!P42</f>
        <v>1</v>
      </c>
      <c r="Q43" s="1">
        <f>'Baseline NFPC'!Q42</f>
        <v>1</v>
      </c>
      <c r="R43" s="1">
        <f>'Baseline NFPC'!R42</f>
        <v>1</v>
      </c>
      <c r="S43" s="1">
        <f>'Baseline NFPC'!S42</f>
        <v>1</v>
      </c>
      <c r="T43" s="1">
        <f>'Baseline NFPC'!T42</f>
        <v>1</v>
      </c>
      <c r="U43" s="1">
        <f>'Baseline NFPC'!U42</f>
        <v>1</v>
      </c>
      <c r="V43" s="1">
        <f>'Baseline NFPC'!V42</f>
        <v>1</v>
      </c>
      <c r="W43" s="1">
        <f>'Baseline NFPC'!W42</f>
        <v>1</v>
      </c>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5"/>
    </row>
    <row r="44" spans="2:51" x14ac:dyDescent="0.2">
      <c r="C44" s="1"/>
      <c r="D44" s="1"/>
      <c r="E44" s="1"/>
      <c r="F44" s="1"/>
      <c r="G44" s="1"/>
      <c r="H44" s="1"/>
      <c r="I44" s="1"/>
      <c r="J44" s="1"/>
      <c r="K44" s="1"/>
      <c r="L44" s="1"/>
      <c r="M44" s="1"/>
      <c r="N44" s="1"/>
      <c r="O44" s="1"/>
      <c r="P44" s="1"/>
      <c r="Q44" s="1"/>
      <c r="R44" s="1"/>
      <c r="S44" s="1"/>
      <c r="T44" s="1"/>
      <c r="U44" s="1"/>
      <c r="V44" s="1"/>
      <c r="W44" s="1"/>
    </row>
    <row r="45" spans="2:51" s="52" customFormat="1" ht="12.75" x14ac:dyDescent="0.2">
      <c r="B45" s="60" t="s">
        <v>71</v>
      </c>
      <c r="C45" s="53"/>
    </row>
    <row r="46" spans="2:51" x14ac:dyDescent="0.2">
      <c r="C46" s="25"/>
    </row>
    <row r="47" spans="2:51" x14ac:dyDescent="0.2">
      <c r="B47" s="39" t="s">
        <v>46</v>
      </c>
      <c r="C47" s="40">
        <f>'Input data'!C49</f>
        <v>0.75</v>
      </c>
    </row>
    <row r="48" spans="2:51" x14ac:dyDescent="0.2">
      <c r="B48" s="41" t="s">
        <v>193</v>
      </c>
      <c r="C48" s="42">
        <f>'Input data'!C50</f>
        <v>0.60499999999999998</v>
      </c>
    </row>
    <row r="49" spans="2:48" x14ac:dyDescent="0.2">
      <c r="C49" s="43"/>
    </row>
    <row r="50" spans="2:48" outlineLevel="1" x14ac:dyDescent="0.2">
      <c r="B50" s="15" t="s">
        <v>72</v>
      </c>
      <c r="C50" s="23">
        <v>0</v>
      </c>
      <c r="D50" s="23">
        <f>IF(AND(ABS((D12-C12)-('Input data'!D13-'Input data'!C13))&gt;0.0001,ABS(D12-C12)&gt;0.0001,D$10&gt;$C$5),4,IF(C50=4,3,IF(C50=3,2,IF(C50=2,1,0))))</f>
        <v>0</v>
      </c>
      <c r="E50" s="23">
        <f>IF(AND(ABS((E12-D12)-('Input data'!E13-'Input data'!D13))&gt;0.0001,ABS(E12-D12)&gt;0.0001,E$10&gt;$C$5),4,IF(D50=4,3,IF(D50=3,2,IF(D50=2,1,0))))</f>
        <v>0</v>
      </c>
      <c r="F50" s="23">
        <f>IF(AND(ABS((F12-E12)-('Input data'!F13-'Input data'!E13))&gt;0.0001,ABS(F12-E12)&gt;0.0001,F$10&gt;$C$5),4,IF(E50=4,3,IF(E50=3,2,IF(E50=2,1,0))))</f>
        <v>0</v>
      </c>
      <c r="G50" s="23">
        <f>IF(AND(ABS((G12-F12)-('Input data'!G13-'Input data'!F13))&gt;0.0001,ABS(G12-F12)&gt;0.0001,G$10&gt;$C$5),4,IF(F50=4,3,IF(F50=3,2,IF(F50=2,1,0))))</f>
        <v>0</v>
      </c>
      <c r="H50" s="23">
        <f>IF(AND(ABS((H12-G12)-('Input data'!H13-'Input data'!G13))&gt;0.0001,ABS(H12-G12)&gt;0.0001,H$10&gt;$C$5),4,IF(G50=4,3,IF(G50=3,2,IF(G50=2,1,0))))</f>
        <v>0</v>
      </c>
      <c r="I50" s="23">
        <f>IF(AND(ABS((I12-H12)-('Input data'!I13-'Input data'!H13))&gt;0.0001,ABS(I12-H12)&gt;0.0001,I$10&gt;$C$5),4,IF(H50=4,3,IF(H50=3,2,IF(H50=2,1,0))))</f>
        <v>0</v>
      </c>
      <c r="J50" s="23">
        <f>IF(AND(ABS((J12-I12)-('Input data'!J13-'Input data'!I13))&gt;0.0001,ABS(J12-I12)&gt;0.0001,J$10&gt;$C$5),4,IF(I50=4,3,IF(I50=3,2,IF(I50=2,1,0))))</f>
        <v>0</v>
      </c>
      <c r="K50" s="23">
        <f>IF(AND(ABS((K12-J12)-('Input data'!K13-'Input data'!J13))&gt;0.0001,ABS(K12-J12)&gt;0.0001,K$10&gt;$C$5),4,IF(J50=4,3,IF(J50=3,2,IF(J50=2,1,0))))</f>
        <v>0</v>
      </c>
      <c r="L50" s="23">
        <f>IF(AND(ABS((L12-K12)-('Input data'!L13-'Input data'!K13))&gt;0.0001,ABS(L12-K12)&gt;0.0001,L$10&gt;$C$5),4,IF(K50=4,3,IF(K50=3,2,IF(K50=2,1,0))))</f>
        <v>0</v>
      </c>
      <c r="M50" s="23">
        <f>IF(AND(ABS((M12-L12)-('Input data'!M13-'Input data'!L13))&gt;0.0001,ABS(M12-L12)&gt;0.0001,M$10&gt;$C$5),4,IF(L50=4,3,IF(L50=3,2,IF(L50=2,1,0))))</f>
        <v>0</v>
      </c>
      <c r="N50" s="23">
        <f>IF(AND(ABS((N12-M12)-('Input data'!N13-'Input data'!M13))&gt;0.0001,ABS(N12-M12)&gt;0.0001,N$10&gt;$C$5),4,IF(M50=4,3,IF(M50=3,2,IF(M50=2,1,0))))</f>
        <v>0</v>
      </c>
      <c r="O50" s="23">
        <f>IF(AND(ABS((O12-N12)-('Input data'!O13-'Input data'!N13))&gt;0.0001,ABS(O12-N12)&gt;0.0001,O$10&gt;$C$5),4,IF(N50=4,3,IF(N50=3,2,IF(N50=2,1,0))))</f>
        <v>0</v>
      </c>
      <c r="P50" s="23">
        <f>IF(AND(ABS((P12-O12)-('Input data'!P13-'Input data'!O13))&gt;0.0001,ABS(P12-O12)&gt;0.0001,P$10&gt;$C$5),4,IF(O50=4,3,IF(O50=3,2,IF(O50=2,1,0))))</f>
        <v>0</v>
      </c>
      <c r="Q50" s="23">
        <f>IF(AND(ABS((Q12-P12)-('Input data'!Q13-'Input data'!P13))&gt;0.0001,ABS(Q12-P12)&gt;0.0001,Q$10&gt;$C$5),4,IF(P50=4,3,IF(P50=3,2,IF(P50=2,1,0))))</f>
        <v>0</v>
      </c>
      <c r="R50" s="23">
        <f>IF(AND(ABS((R12-Q12)-('Input data'!R13-'Input data'!Q13))&gt;0.0001,ABS(R12-Q12)&gt;0.0001,R$10&gt;$C$5),4,IF(Q50=4,3,IF(Q50=3,2,IF(Q50=2,1,0))))</f>
        <v>0</v>
      </c>
      <c r="S50" s="23">
        <f>IF(AND(ABS((S12-R12)-('Input data'!S13-'Input data'!R13))&gt;0.0001,ABS(S12-R12)&gt;0.0001,S$10&gt;$C$5),4,IF(R50=4,3,IF(R50=3,2,IF(R50=2,1,0))))</f>
        <v>0</v>
      </c>
      <c r="T50" s="23">
        <f>IF(AND(ABS((T12-S12)-('Input data'!T13-'Input data'!S13))&gt;0.0001,ABS(T12-S12)&gt;0.0001,T$10&gt;$C$5),4,IF(S50=4,3,IF(S50=3,2,IF(S50=2,1,0))))</f>
        <v>0</v>
      </c>
      <c r="U50" s="23">
        <f>IF(AND(ABS((U12-T12)-('Input data'!U13-'Input data'!T13))&gt;0.0001,ABS(U12-T12)&gt;0.0001,U$10&gt;$C$5),4,IF(T50=4,3,IF(T50=3,2,IF(T50=2,1,0))))</f>
        <v>0</v>
      </c>
      <c r="V50" s="23">
        <f>IF(AND(ABS((V12-U12)-('Input data'!V13-'Input data'!U13))&gt;0.0001,ABS(V12-U12)&gt;0.0001,V$10&gt;$C$5),4,IF(U50=4,3,IF(U50=3,2,IF(U50=2,1,0))))</f>
        <v>0</v>
      </c>
      <c r="W50" s="23">
        <f>IF(AND(ABS((W12-V12)-('Input data'!W13-'Input data'!V13))&gt;0.0001,ABS(W12-V12)&gt;0.0001,W$10&gt;$C$5),4,IF(V50=4,3,IF(V50=3,2,IF(V50=2,1,0))))</f>
        <v>0</v>
      </c>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row>
    <row r="51" spans="2:48" outlineLevel="1" x14ac:dyDescent="0.2">
      <c r="B51" s="15" t="s">
        <v>73</v>
      </c>
      <c r="C51" s="23">
        <v>0</v>
      </c>
      <c r="D51" s="23">
        <f t="shared" ref="D51:W51" si="12">IF(C50=4,2/3*C30,IF(C50=3,1/3*B30,0))</f>
        <v>0</v>
      </c>
      <c r="E51" s="23">
        <f t="shared" si="12"/>
        <v>0</v>
      </c>
      <c r="F51" s="23">
        <f t="shared" si="12"/>
        <v>0</v>
      </c>
      <c r="G51" s="23">
        <f t="shared" si="12"/>
        <v>0</v>
      </c>
      <c r="H51" s="23">
        <f t="shared" si="12"/>
        <v>0</v>
      </c>
      <c r="I51" s="23">
        <f t="shared" si="12"/>
        <v>0</v>
      </c>
      <c r="J51" s="23">
        <f t="shared" si="12"/>
        <v>0</v>
      </c>
      <c r="K51" s="23">
        <f t="shared" si="12"/>
        <v>0</v>
      </c>
      <c r="L51" s="23">
        <f t="shared" si="12"/>
        <v>0</v>
      </c>
      <c r="M51" s="23">
        <f t="shared" si="12"/>
        <v>0</v>
      </c>
      <c r="N51" s="23">
        <f t="shared" si="12"/>
        <v>0</v>
      </c>
      <c r="O51" s="23">
        <f t="shared" si="12"/>
        <v>0</v>
      </c>
      <c r="P51" s="23">
        <f t="shared" si="12"/>
        <v>0</v>
      </c>
      <c r="Q51" s="23">
        <f t="shared" si="12"/>
        <v>0</v>
      </c>
      <c r="R51" s="23">
        <f t="shared" si="12"/>
        <v>0</v>
      </c>
      <c r="S51" s="23">
        <f t="shared" si="12"/>
        <v>0</v>
      </c>
      <c r="T51" s="23">
        <f t="shared" si="12"/>
        <v>0</v>
      </c>
      <c r="U51" s="23">
        <f t="shared" si="12"/>
        <v>0</v>
      </c>
      <c r="V51" s="23">
        <f t="shared" si="12"/>
        <v>0</v>
      </c>
      <c r="W51" s="23">
        <f t="shared" si="12"/>
        <v>0</v>
      </c>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row>
    <row r="52" spans="2:48" outlineLevel="1" x14ac:dyDescent="0.2">
      <c r="B52" s="15" t="s">
        <v>74</v>
      </c>
      <c r="C52" s="23"/>
      <c r="D52" s="23">
        <f>'Input data'!D30-$C$47*((D12-C12)-('Input data'!D13-'Input data'!C13))</f>
        <v>4.3289179999999998</v>
      </c>
      <c r="E52" s="23">
        <f>'Input data'!E30-$C$47*((E12-D12)-('Input data'!E13-'Input data'!D13))</f>
        <v>9.7021999999999997E-2</v>
      </c>
      <c r="F52" s="23">
        <f>'Input data'!F30-$C$47*((F12-E12)-('Input data'!F13-'Input data'!E13))</f>
        <v>0.76041639999999999</v>
      </c>
      <c r="G52" s="23">
        <f>'Input data'!G30-$C$47*((G12-F12))</f>
        <v>1.4546490000000001</v>
      </c>
      <c r="H52" s="23">
        <f>'Input data'!H30-$C$47*((H12-G12))</f>
        <v>1.8523499999999999</v>
      </c>
      <c r="I52" s="23">
        <f>'Input data'!I30-$C$47*((I12-H12))</f>
        <v>1.7025399999999999</v>
      </c>
      <c r="J52" s="23">
        <f>'Input data'!J30-$C$47*((J12-I12))</f>
        <v>1.3549960000000001</v>
      </c>
      <c r="K52" s="23">
        <f>'Input data'!K30-$C$47*((K12-J12))</f>
        <v>1.0625849999999999</v>
      </c>
      <c r="L52" s="23">
        <f>'Input data'!L30-$C$47*((L12-K12))</f>
        <v>1.032675</v>
      </c>
      <c r="M52" s="23">
        <f>'Input data'!M30-$C$47*((M12-L12))</f>
        <v>0.99759059999999999</v>
      </c>
      <c r="N52" s="23">
        <f>'Input data'!N30-$C$47*((N12-M12))</f>
        <v>0.97505750000000002</v>
      </c>
      <c r="O52" s="23">
        <f>'Input data'!O30-$C$47*((O12-N12))</f>
        <v>0.98748159999999996</v>
      </c>
      <c r="P52" s="23">
        <f>'Input data'!P30-$C$47*((P12-O12))</f>
        <v>1.0150079999999999</v>
      </c>
      <c r="Q52" s="23">
        <f>'Input data'!Q30-$C$47*((Q12-P12))</f>
        <v>1.0425329999999999</v>
      </c>
      <c r="R52" s="23">
        <f>'Input data'!R30-$C$47*((R12-Q12))</f>
        <v>1.070057</v>
      </c>
      <c r="S52" s="23">
        <f>'Input data'!S30-$C$47*((S12-R12))</f>
        <v>1.179827</v>
      </c>
      <c r="T52" s="23">
        <f>'Input data'!T30-$C$47*((T12-S12))</f>
        <v>1.2857700000000001</v>
      </c>
      <c r="U52" s="23">
        <f>'Input data'!U30-$C$47*((U12-T12))</f>
        <v>1.4476530000000001</v>
      </c>
      <c r="V52" s="23">
        <f>'Input data'!V30-$C$47*((V12-U12))</f>
        <v>1.6124210000000001</v>
      </c>
      <c r="W52" s="23">
        <f>'Input data'!W30-$C$47*((W12-V12))</f>
        <v>1.664423</v>
      </c>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row>
    <row r="53" spans="2:48" x14ac:dyDescent="0.2">
      <c r="C53" s="25"/>
    </row>
    <row r="54" spans="2:48" s="52" customFormat="1" ht="12.75" outlineLevel="1" x14ac:dyDescent="0.2">
      <c r="B54" s="57" t="s">
        <v>75</v>
      </c>
      <c r="C54" s="54"/>
      <c r="E54" s="55"/>
      <c r="F54" s="54"/>
    </row>
    <row r="55" spans="2:48" outlineLevel="1" x14ac:dyDescent="0.2">
      <c r="B55" s="30"/>
      <c r="C55" s="18"/>
      <c r="E55" s="31"/>
      <c r="F55" s="18"/>
    </row>
    <row r="56" spans="2:48" outlineLevel="1" x14ac:dyDescent="0.2">
      <c r="B56" s="66"/>
      <c r="C56" s="67">
        <v>2021</v>
      </c>
      <c r="D56" s="67">
        <v>2022</v>
      </c>
      <c r="E56" s="67">
        <v>2023</v>
      </c>
      <c r="F56" s="67">
        <v>2024</v>
      </c>
      <c r="G56" s="67">
        <v>2025</v>
      </c>
      <c r="H56" s="67">
        <v>2026</v>
      </c>
      <c r="I56" s="67">
        <v>2027</v>
      </c>
      <c r="J56" s="67">
        <v>2028</v>
      </c>
      <c r="K56" s="67">
        <v>2029</v>
      </c>
      <c r="L56" s="67">
        <v>2030</v>
      </c>
      <c r="M56" s="67">
        <v>2031</v>
      </c>
      <c r="N56" s="67">
        <v>2032</v>
      </c>
      <c r="O56" s="67">
        <v>2033</v>
      </c>
      <c r="P56" s="67">
        <v>2034</v>
      </c>
      <c r="Q56" s="67">
        <v>2035</v>
      </c>
      <c r="R56" s="67">
        <v>2036</v>
      </c>
      <c r="S56" s="67">
        <v>2037</v>
      </c>
      <c r="T56" s="67">
        <v>2038</v>
      </c>
      <c r="U56" s="67">
        <v>2039</v>
      </c>
      <c r="V56" s="67">
        <v>2040</v>
      </c>
      <c r="W56" s="67">
        <v>2041</v>
      </c>
    </row>
    <row r="57" spans="2:48" ht="10.5" customHeight="1" outlineLevel="1" x14ac:dyDescent="0.2">
      <c r="B57" s="68" t="s">
        <v>76</v>
      </c>
      <c r="C57" s="32">
        <f>+'Input data'!C12</f>
        <v>51.650089999999999</v>
      </c>
      <c r="D57" s="32">
        <f>+C57+D58</f>
        <v>50.132855552279821</v>
      </c>
      <c r="E57" s="32">
        <f>+D57+E58</f>
        <v>46.482690336671389</v>
      </c>
      <c r="F57" s="32">
        <f>+E57+F58</f>
        <v>47.061224448752846</v>
      </c>
      <c r="G57" s="32">
        <f>+F57+G58</f>
        <v>48.402599148872696</v>
      </c>
      <c r="H57" s="32">
        <f t="shared" ref="H57:S57" si="13">+G57+H58</f>
        <v>48.438526378096562</v>
      </c>
      <c r="I57" s="32">
        <f t="shared" si="13"/>
        <v>48.244783647846056</v>
      </c>
      <c r="J57" s="32">
        <f t="shared" si="13"/>
        <v>48.080120326750375</v>
      </c>
      <c r="K57" s="32">
        <f t="shared" si="13"/>
        <v>48.250854371176658</v>
      </c>
      <c r="L57" s="32">
        <f t="shared" si="13"/>
        <v>48.646228475439614</v>
      </c>
      <c r="M57" s="32">
        <f t="shared" si="13"/>
        <v>49.287799730189889</v>
      </c>
      <c r="N57" s="32">
        <f t="shared" si="13"/>
        <v>50.162177262191719</v>
      </c>
      <c r="O57" s="32">
        <f t="shared" si="13"/>
        <v>51.208546889704138</v>
      </c>
      <c r="P57" s="32">
        <f t="shared" si="13"/>
        <v>52.441071550742755</v>
      </c>
      <c r="Q57" s="32">
        <f t="shared" si="13"/>
        <v>53.833503749210372</v>
      </c>
      <c r="R57" s="32">
        <f t="shared" si="13"/>
        <v>55.411476568297779</v>
      </c>
      <c r="S57" s="32">
        <f t="shared" si="13"/>
        <v>57.139808468973605</v>
      </c>
      <c r="T57" s="32">
        <f>+S57+T58</f>
        <v>58.987644442506152</v>
      </c>
      <c r="U57" s="32">
        <f>+T57+U58</f>
        <v>60.924863663676099</v>
      </c>
      <c r="V57" s="32">
        <f t="shared" ref="V57" si="14">+U57+V58</f>
        <v>62.934597626211762</v>
      </c>
      <c r="W57" s="32">
        <f t="shared" ref="W57" si="15">+V57+W58</f>
        <v>65.046566157525334</v>
      </c>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row>
    <row r="58" spans="2:48" outlineLevel="1" x14ac:dyDescent="0.2">
      <c r="B58" s="69" t="s">
        <v>77</v>
      </c>
      <c r="C58" s="33"/>
      <c r="D58" s="33">
        <f>-D59+D67+D72</f>
        <v>-1.5172344477201758</v>
      </c>
      <c r="E58" s="33">
        <f>-E59+E67+E72</f>
        <v>-3.6501652156084297</v>
      </c>
      <c r="F58" s="33">
        <f>-F59+F67+F72</f>
        <v>0.57853411208145367</v>
      </c>
      <c r="G58" s="33">
        <f>-G59+G67+G72</f>
        <v>1.3413747001198502</v>
      </c>
      <c r="H58" s="33">
        <f t="shared" ref="H58:S58" si="16">-H59+H67+H72</f>
        <v>3.5927229223866153E-2</v>
      </c>
      <c r="I58" s="33">
        <f t="shared" si="16"/>
        <v>-0.19374273025050592</v>
      </c>
      <c r="J58" s="33">
        <f t="shared" si="16"/>
        <v>-0.16466332109568371</v>
      </c>
      <c r="K58" s="33">
        <f t="shared" si="16"/>
        <v>0.17073404442628126</v>
      </c>
      <c r="L58" s="33">
        <f t="shared" si="16"/>
        <v>0.39537410426295527</v>
      </c>
      <c r="M58" s="33">
        <f t="shared" si="16"/>
        <v>0.64157125475027421</v>
      </c>
      <c r="N58" s="33">
        <f t="shared" si="16"/>
        <v>0.8743775320018301</v>
      </c>
      <c r="O58" s="33">
        <f t="shared" si="16"/>
        <v>1.0463696275124179</v>
      </c>
      <c r="P58" s="33">
        <f t="shared" si="16"/>
        <v>1.2325246610386174</v>
      </c>
      <c r="Q58" s="33">
        <f t="shared" si="16"/>
        <v>1.3924321984676191</v>
      </c>
      <c r="R58" s="33">
        <f t="shared" si="16"/>
        <v>1.5779728190874076</v>
      </c>
      <c r="S58" s="33">
        <f t="shared" si="16"/>
        <v>1.7283319006758251</v>
      </c>
      <c r="T58" s="33">
        <f>-T59+T67+T72</f>
        <v>1.8478359735325438</v>
      </c>
      <c r="U58" s="33">
        <f t="shared" ref="U58:W58" si="17">-U59+U67+U72</f>
        <v>1.937219221169945</v>
      </c>
      <c r="V58" s="33">
        <f t="shared" si="17"/>
        <v>2.0097339625356629</v>
      </c>
      <c r="W58" s="33">
        <f t="shared" si="17"/>
        <v>2.1119685313135701</v>
      </c>
    </row>
    <row r="59" spans="2:48" outlineLevel="1" x14ac:dyDescent="0.2">
      <c r="B59" s="65" t="s">
        <v>78</v>
      </c>
      <c r="C59" s="34"/>
      <c r="D59" s="34">
        <f>D60+D61-D62-D63-D64-D65-D66</f>
        <v>0.44650744772017598</v>
      </c>
      <c r="E59" s="34">
        <f t="shared" ref="E59:R59" si="18">E60+E61-E62-E63-E64-E65-E66</f>
        <v>0.2876926156084299</v>
      </c>
      <c r="F59" s="34">
        <f t="shared" si="18"/>
        <v>-1.2864409120814537</v>
      </c>
      <c r="G59" s="34">
        <f t="shared" si="18"/>
        <v>-1.4101399001198536</v>
      </c>
      <c r="H59" s="34">
        <f t="shared" si="18"/>
        <v>-1.1539927515148163</v>
      </c>
      <c r="I59" s="34">
        <f t="shared" si="18"/>
        <v>-0.81246132841844609</v>
      </c>
      <c r="J59" s="34">
        <f t="shared" si="18"/>
        <v>-0.64169800014734713</v>
      </c>
      <c r="K59" s="34">
        <f t="shared" si="18"/>
        <v>-0.81019559878620706</v>
      </c>
      <c r="L59" s="34">
        <f t="shared" si="18"/>
        <v>-0.99910040115403009</v>
      </c>
      <c r="M59" s="34">
        <f t="shared" si="18"/>
        <v>-1.2128852031057942</v>
      </c>
      <c r="N59" s="34">
        <f t="shared" si="18"/>
        <v>-1.4247392858007866</v>
      </c>
      <c r="O59" s="34">
        <f t="shared" si="18"/>
        <v>-1.5980156867166817</v>
      </c>
      <c r="P59" s="34">
        <f t="shared" si="18"/>
        <v>-1.7638204888749291</v>
      </c>
      <c r="Q59" s="34">
        <f t="shared" si="18"/>
        <v>-1.9043658901172049</v>
      </c>
      <c r="R59" s="34">
        <f t="shared" si="18"/>
        <v>-2.0710934887118677</v>
      </c>
      <c r="S59" s="34">
        <f>S60+S61-S62-S63-S64-S65-S66</f>
        <v>-2.2477110825475513</v>
      </c>
      <c r="T59" s="34">
        <f>T60+T61-T62-T63-T64-T65-T66</f>
        <v>-2.3938860879079367</v>
      </c>
      <c r="U59" s="34">
        <f>U60+U61-U62-U63-U64-U65-U66</f>
        <v>-2.5445022879079335</v>
      </c>
      <c r="V59" s="34">
        <f t="shared" ref="V59:W59" si="19">V60+V61-V62-V63-V64-V65-V66</f>
        <v>-2.6840684879079406</v>
      </c>
      <c r="W59" s="34">
        <f t="shared" si="19"/>
        <v>-2.7886141928128687</v>
      </c>
    </row>
    <row r="60" spans="2:48" outlineLevel="1" x14ac:dyDescent="0.2">
      <c r="B60" s="64" t="s">
        <v>79</v>
      </c>
      <c r="C60" s="1"/>
      <c r="D60" s="1">
        <f>D12</f>
        <v>-0.58009900000000003</v>
      </c>
      <c r="E60" s="1">
        <f>E12</f>
        <v>-0.18470490000000001</v>
      </c>
      <c r="F60" s="1">
        <f>F12</f>
        <v>-0.64168910000000001</v>
      </c>
      <c r="G60" s="1">
        <f t="shared" ref="G60:W60" si="20">IF(G12="",F60,G12)</f>
        <v>-0.64168910000000001</v>
      </c>
      <c r="H60" s="1">
        <f t="shared" si="20"/>
        <v>-0.64168910000000001</v>
      </c>
      <c r="I60" s="1">
        <f t="shared" si="20"/>
        <v>-0.64168910000000001</v>
      </c>
      <c r="J60" s="1">
        <f t="shared" si="20"/>
        <v>-0.64168910000000001</v>
      </c>
      <c r="K60" s="1">
        <f t="shared" si="20"/>
        <v>-0.64168910000000001</v>
      </c>
      <c r="L60" s="1">
        <f t="shared" si="20"/>
        <v>-0.64168910000000001</v>
      </c>
      <c r="M60" s="1">
        <f t="shared" si="20"/>
        <v>-0.64168910000000001</v>
      </c>
      <c r="N60" s="1">
        <f t="shared" si="20"/>
        <v>-0.64168910000000001</v>
      </c>
      <c r="O60" s="1">
        <f t="shared" si="20"/>
        <v>-0.64168910000000001</v>
      </c>
      <c r="P60" s="1">
        <f t="shared" si="20"/>
        <v>-0.64168910000000001</v>
      </c>
      <c r="Q60" s="1">
        <f t="shared" si="20"/>
        <v>-0.64168910000000001</v>
      </c>
      <c r="R60" s="1">
        <f t="shared" si="20"/>
        <v>-0.64168910000000001</v>
      </c>
      <c r="S60" s="1">
        <f t="shared" si="20"/>
        <v>-0.64168910000000001</v>
      </c>
      <c r="T60" s="1">
        <f t="shared" si="20"/>
        <v>-0.64168910000000001</v>
      </c>
      <c r="U60" s="1">
        <f t="shared" si="20"/>
        <v>-0.64168910000000001</v>
      </c>
      <c r="V60" s="1">
        <f t="shared" si="20"/>
        <v>-0.64168910000000001</v>
      </c>
      <c r="W60" s="1">
        <f t="shared" si="20"/>
        <v>-0.64168910000000001</v>
      </c>
    </row>
    <row r="61" spans="2:48" outlineLevel="1" x14ac:dyDescent="0.2">
      <c r="B61" s="64" t="s">
        <v>80</v>
      </c>
      <c r="C61" s="1"/>
      <c r="D61" s="1">
        <v>0</v>
      </c>
      <c r="E61" s="1">
        <v>0</v>
      </c>
      <c r="F61" s="1">
        <v>0</v>
      </c>
      <c r="G61" s="1">
        <v>0</v>
      </c>
      <c r="H61" s="1">
        <v>0</v>
      </c>
      <c r="I61" s="1">
        <v>0</v>
      </c>
      <c r="J61" s="1">
        <v>0</v>
      </c>
      <c r="K61" s="1">
        <v>0</v>
      </c>
      <c r="L61" s="1">
        <v>0</v>
      </c>
      <c r="M61" s="1">
        <v>0</v>
      </c>
      <c r="N61" s="1">
        <v>0</v>
      </c>
      <c r="O61" s="1">
        <v>0</v>
      </c>
      <c r="P61" s="1">
        <v>0</v>
      </c>
      <c r="Q61" s="1">
        <v>0</v>
      </c>
      <c r="R61" s="1">
        <v>0</v>
      </c>
      <c r="S61" s="1">
        <v>0</v>
      </c>
      <c r="T61" s="1">
        <v>0</v>
      </c>
      <c r="U61" s="1">
        <v>0</v>
      </c>
      <c r="V61" s="1">
        <v>0</v>
      </c>
      <c r="W61" s="1">
        <v>0</v>
      </c>
    </row>
    <row r="62" spans="2:48" outlineLevel="1" x14ac:dyDescent="0.2">
      <c r="B62" s="64" t="s">
        <v>81</v>
      </c>
      <c r="C62" s="1"/>
      <c r="D62" s="1">
        <f t="shared" ref="D62:W62" si="21">-$C$48*D30</f>
        <v>-1.214390247720176</v>
      </c>
      <c r="E62" s="1">
        <f t="shared" si="21"/>
        <v>1.1121284391570119E-2</v>
      </c>
      <c r="F62" s="1">
        <f t="shared" si="21"/>
        <v>0.64475181208145382</v>
      </c>
      <c r="G62" s="1">
        <f t="shared" si="21"/>
        <v>0.76845080011985356</v>
      </c>
      <c r="H62" s="1">
        <f t="shared" si="21"/>
        <v>0.51230365151481616</v>
      </c>
      <c r="I62" s="1">
        <f t="shared" si="21"/>
        <v>0.17077222841844603</v>
      </c>
      <c r="J62" s="1">
        <f t="shared" si="21"/>
        <v>8.9001473470573522E-6</v>
      </c>
      <c r="K62" s="1">
        <f t="shared" si="21"/>
        <v>9.4987862049866756E-6</v>
      </c>
      <c r="L62" s="1">
        <f t="shared" si="21"/>
        <v>8.301154027556823E-6</v>
      </c>
      <c r="M62" s="1">
        <f>-$C$48*M30</f>
        <v>7.1031057950476928E-6</v>
      </c>
      <c r="N62" s="1">
        <f t="shared" si="21"/>
        <v>5.1858007892868763E-6</v>
      </c>
      <c r="O62" s="1">
        <f t="shared" si="21"/>
        <v>4.5867166781343727E-6</v>
      </c>
      <c r="P62" s="1">
        <f t="shared" si="21"/>
        <v>3.3888749282895425E-6</v>
      </c>
      <c r="Q62" s="1">
        <f t="shared" si="21"/>
        <v>2.7901172022781751E-6</v>
      </c>
      <c r="R62" s="1">
        <f t="shared" si="21"/>
        <v>3.3887118633391111E-6</v>
      </c>
      <c r="S62" s="1">
        <f t="shared" si="21"/>
        <v>5.1825475504974072E-6</v>
      </c>
      <c r="T62" s="1">
        <f t="shared" si="21"/>
        <v>3.9879079376525794E-6</v>
      </c>
      <c r="U62" s="1">
        <f>-$C$48*U30</f>
        <v>3.9879079309357301E-6</v>
      </c>
      <c r="V62" s="1">
        <f t="shared" si="21"/>
        <v>3.9879079376525794E-6</v>
      </c>
      <c r="W62" s="1">
        <f t="shared" si="21"/>
        <v>3.3928128692628512E-6</v>
      </c>
    </row>
    <row r="63" spans="2:48" outlineLevel="1" x14ac:dyDescent="0.2">
      <c r="B63" s="64" t="s">
        <v>82</v>
      </c>
      <c r="C63" s="1"/>
      <c r="D63" s="1">
        <f t="shared" ref="D63:W63" si="22">-D14</f>
        <v>0.1877838</v>
      </c>
      <c r="E63" s="1">
        <f t="shared" si="22"/>
        <v>-0.48351880000000003</v>
      </c>
      <c r="F63" s="1">
        <f t="shared" si="22"/>
        <v>0</v>
      </c>
      <c r="G63" s="1">
        <f t="shared" si="22"/>
        <v>0</v>
      </c>
      <c r="H63" s="1">
        <f t="shared" si="22"/>
        <v>0</v>
      </c>
      <c r="I63" s="1">
        <f t="shared" si="22"/>
        <v>0</v>
      </c>
      <c r="J63" s="1">
        <f t="shared" si="22"/>
        <v>0</v>
      </c>
      <c r="K63" s="1">
        <f t="shared" si="22"/>
        <v>0</v>
      </c>
      <c r="L63" s="1">
        <f t="shared" si="22"/>
        <v>0</v>
      </c>
      <c r="M63" s="1">
        <f t="shared" si="22"/>
        <v>0</v>
      </c>
      <c r="N63" s="1">
        <f t="shared" si="22"/>
        <v>0</v>
      </c>
      <c r="O63" s="1">
        <f t="shared" si="22"/>
        <v>0</v>
      </c>
      <c r="P63" s="1">
        <f t="shared" si="22"/>
        <v>0</v>
      </c>
      <c r="Q63" s="1">
        <f t="shared" si="22"/>
        <v>0</v>
      </c>
      <c r="R63" s="1">
        <f t="shared" si="22"/>
        <v>0</v>
      </c>
      <c r="S63" s="1">
        <f t="shared" si="22"/>
        <v>0</v>
      </c>
      <c r="T63" s="1">
        <f t="shared" si="22"/>
        <v>0</v>
      </c>
      <c r="U63" s="1">
        <f t="shared" si="22"/>
        <v>0</v>
      </c>
      <c r="V63" s="1">
        <f t="shared" si="22"/>
        <v>0</v>
      </c>
      <c r="W63" s="1">
        <f t="shared" si="22"/>
        <v>0</v>
      </c>
    </row>
    <row r="64" spans="2:48" outlineLevel="1" x14ac:dyDescent="0.2">
      <c r="B64" s="64" t="s">
        <v>83</v>
      </c>
      <c r="C64" s="1"/>
      <c r="D64" s="1">
        <f>IF(D$56&lt;=$C$6,0,HLOOKUP(D$56,'Input data'!$C$9:$BB$26,12,FALSE)-HLOOKUP($C$6,'Input data'!$C$9:$BB$26,12,FALSE))</f>
        <v>0</v>
      </c>
      <c r="E64" s="1">
        <f>IF(E$56&lt;=$C$6,0,HLOOKUP(E$56,'Input data'!$C$9:$BB$26,12,FALSE)-HLOOKUP($C$6,'Input data'!$C$9:$BB$26,12,FALSE))</f>
        <v>0</v>
      </c>
      <c r="F64" s="1">
        <f>IF(F$56&lt;=$C$6,0,HLOOKUP(F$56,'Input data'!$C$9:$BB$26,12,FALSE)-HLOOKUP($C$6,'Input data'!$C$9:$BB$26,12,FALSE))</f>
        <v>0</v>
      </c>
      <c r="G64" s="1">
        <f>IF(G$56&lt;=$C$6,0,HLOOKUP(G$56,'Input data'!$C$9:$BB$26,12,FALSE)-HLOOKUP($C$6,'Input data'!$C$9:$BB$26,12,FALSE))</f>
        <v>0</v>
      </c>
      <c r="H64" s="1">
        <f>IF(H$56&lt;=$C$6,0,HLOOKUP(H$56,'Input data'!$C$9:$BB$26,12,FALSE)-HLOOKUP($C$6,'Input data'!$C$9:$BB$26,12,FALSE))</f>
        <v>0</v>
      </c>
      <c r="I64" s="1">
        <f>IF(I$56&lt;=$C$6,0,HLOOKUP(I$56,'Input data'!$C$9:$BB$26,12,FALSE)-HLOOKUP($C$6,'Input data'!$C$9:$BB$26,12,FALSE))</f>
        <v>0</v>
      </c>
      <c r="J64" s="1">
        <f>IF(J$56&lt;=$C$6,0,HLOOKUP(J$56,'Input data'!$C$9:$BB$26,12,FALSE)-HLOOKUP($C$6,'Input data'!$C$9:$BB$26,12,FALSE))</f>
        <v>0</v>
      </c>
      <c r="K64" s="1">
        <f>IF(K$56&lt;=$C$6,0,HLOOKUP(K$56,'Input data'!$C$9:$BB$26,12,FALSE)-HLOOKUP($C$6,'Input data'!$C$9:$BB$26,12,FALSE))</f>
        <v>0.13367000000000218</v>
      </c>
      <c r="L64" s="1">
        <f>IF(L$56&lt;=$C$6,0,HLOOKUP(L$56,'Input data'!$C$9:$BB$26,12,FALSE)-HLOOKUP($C$6,'Input data'!$C$9:$BB$26,12,FALSE))</f>
        <v>0.28775000000000261</v>
      </c>
      <c r="M64" s="1">
        <f>IF(M$56&lt;=$C$6,0,HLOOKUP(M$56,'Input data'!$C$9:$BB$26,12,FALSE)-HLOOKUP($C$6,'Input data'!$C$9:$BB$26,12,FALSE))</f>
        <v>0.46670999999999907</v>
      </c>
      <c r="N64" s="1">
        <f>IF(N$56&lt;=$C$6,0,HLOOKUP(N$56,'Input data'!$C$9:$BB$26,12,FALSE)-HLOOKUP($C$6,'Input data'!$C$9:$BB$26,12,FALSE))</f>
        <v>0.64373999999999754</v>
      </c>
      <c r="O64" s="1">
        <f>IF(O$56&lt;=$C$6,0,HLOOKUP(O$56,'Input data'!$C$9:$BB$26,12,FALSE)-HLOOKUP($C$6,'Input data'!$C$9:$BB$26,12,FALSE))</f>
        <v>0.78219000000000349</v>
      </c>
      <c r="P64" s="1">
        <f>IF(P$56&lt;=$C$6,0,HLOOKUP(P$56,'Input data'!$C$9:$BB$26,12,FALSE)-HLOOKUP($C$6,'Input data'!$C$9:$BB$26,12,FALSE))</f>
        <v>0.91317000000000093</v>
      </c>
      <c r="Q64" s="1">
        <f>IF(Q$56&lt;=$C$6,0,HLOOKUP(Q$56,'Input data'!$C$9:$BB$26,12,FALSE)-HLOOKUP($C$6,'Input data'!$C$9:$BB$26,12,FALSE))</f>
        <v>1.0188900000000025</v>
      </c>
      <c r="R64" s="1">
        <f>IF(R$56&lt;=$C$6,0,HLOOKUP(R$56,'Input data'!$C$9:$BB$26,12,FALSE)-HLOOKUP($C$6,'Input data'!$C$9:$BB$26,12,FALSE))</f>
        <v>1.1507900000000042</v>
      </c>
      <c r="S64" s="1">
        <f>IF(S$56&lt;=$C$6,0,HLOOKUP(S$56,'Input data'!$C$9:$BB$26,12,FALSE)-HLOOKUP($C$6,'Input data'!$C$9:$BB$26,12,FALSE))</f>
        <v>1.292580000000001</v>
      </c>
      <c r="T64" s="1">
        <f>IF(T$56&lt;=$C$6,0,HLOOKUP(T$56,'Input data'!$C$9:$BB$26,12,FALSE)-HLOOKUP($C$6,'Input data'!$C$9:$BB$26,12,FALSE))</f>
        <v>1.403929999999999</v>
      </c>
      <c r="U64" s="1">
        <f>IF(U$56&lt;=$C$6,0,HLOOKUP(U$56,'Input data'!$C$9:$BB$26,12,FALSE)-HLOOKUP($C$6,'Input data'!$C$9:$BB$26,12,FALSE))</f>
        <v>1.5197200000000031</v>
      </c>
      <c r="V64" s="1">
        <f>IF(V$56&lt;=$C$6,0,HLOOKUP(V$56,'Input data'!$C$9:$BB$26,12,FALSE)-HLOOKUP($C$6,'Input data'!$C$9:$BB$26,12,FALSE))</f>
        <v>1.6244600000000027</v>
      </c>
      <c r="W64" s="1">
        <f>IF(W$56&lt;=$C$6,0,HLOOKUP(W$56,'Input data'!$C$9:$BB$26,12,FALSE)-HLOOKUP($C$6,'Input data'!$C$9:$BB$26,12,FALSE))</f>
        <v>1.6941799999999994</v>
      </c>
    </row>
    <row r="65" spans="2:23" outlineLevel="1" x14ac:dyDescent="0.2">
      <c r="B65" s="64" t="s">
        <v>84</v>
      </c>
      <c r="C65" s="1"/>
      <c r="D65" s="1">
        <f>IF(D$56&lt;=$C$5,0,-HLOOKUP(D$56,'Input data'!$C$9:$BB$26,18,FALSE)+HLOOKUP($C$6,'Input data'!$C$9:$BB$26,18,FALSE))</f>
        <v>0</v>
      </c>
      <c r="E65" s="1">
        <f>IF(E$56&lt;=$C$5,0,-HLOOKUP(E$56,'Input data'!$C$9:$BB$26,18,FALSE)+HLOOKUP($C$6,'Input data'!$C$9:$BB$26,18,FALSE))</f>
        <v>0</v>
      </c>
      <c r="F65" s="1">
        <f>IF(F$56&lt;=$C$5,0,-HLOOKUP(F$56,'Input data'!$C$9:$BB$26,18,FALSE)+HLOOKUP($C$6,'Input data'!$C$9:$BB$26,18,FALSE))</f>
        <v>0</v>
      </c>
      <c r="G65" s="1">
        <f>IF(G$56&lt;=$C$6,0,-HLOOKUP(G$56,'Input data'!$C$9:$BB$26,18,FALSE)+HLOOKUP($C$6,'Input data'!$C$9:$BB$26,18,FALSE))</f>
        <v>0</v>
      </c>
      <c r="H65" s="1">
        <f>IF(H$56&lt;=$C$6,0,-HLOOKUP(H$56,'Input data'!$C$9:$BB$26,18,FALSE)+HLOOKUP($C$6,'Input data'!$C$9:$BB$26,18,FALSE))</f>
        <v>0</v>
      </c>
      <c r="I65" s="1">
        <f>IF(I$56&lt;=$C$6,0,-HLOOKUP(I$56,'Input data'!$C$9:$BB$26,18,FALSE)+HLOOKUP($C$6,'Input data'!$C$9:$BB$26,18,FALSE))</f>
        <v>0</v>
      </c>
      <c r="J65" s="1">
        <f>IF(J$56&lt;=$C$6,0,-HLOOKUP(J$56,'Input data'!$C$9:$BB$26,18,FALSE)+HLOOKUP($C$6,'Input data'!$C$9:$BB$26,18,FALSE))</f>
        <v>0</v>
      </c>
      <c r="K65" s="1">
        <f>IF(K$56&lt;=$C$6,0,-HLOOKUP(K$56,'Input data'!$C$9:$BB$26,18,FALSE)+HLOOKUP($C$6,'Input data'!$C$9:$BB$26,18,FALSE))</f>
        <v>3.4826999999999941E-2</v>
      </c>
      <c r="L65" s="1">
        <f>IF(L$56&lt;=$C$6,0,-HLOOKUP(L$56,'Input data'!$C$9:$BB$26,18,FALSE)+HLOOKUP($C$6,'Input data'!$C$9:$BB$26,18,FALSE))</f>
        <v>6.9652999999999965E-2</v>
      </c>
      <c r="M65" s="1">
        <f>IF(M$56&lt;=$C$6,0,-HLOOKUP(M$56,'Input data'!$C$9:$BB$26,18,FALSE)+HLOOKUP($C$6,'Input data'!$C$9:$BB$26,18,FALSE))</f>
        <v>0.10447899999999999</v>
      </c>
      <c r="N65" s="1">
        <f>IF(N$56&lt;=$C$6,0,-HLOOKUP(N$56,'Input data'!$C$9:$BB$26,18,FALSE)+HLOOKUP($C$6,'Input data'!$C$9:$BB$26,18,FALSE))</f>
        <v>0.13930499999999979</v>
      </c>
      <c r="O65" s="1">
        <f>IF(O$56&lt;=$C$6,0,-HLOOKUP(O$56,'Input data'!$C$9:$BB$26,18,FALSE)+HLOOKUP($C$6,'Input data'!$C$9:$BB$26,18,FALSE))</f>
        <v>0.17413199999999995</v>
      </c>
      <c r="P65" s="1">
        <f>IF(P$56&lt;=$C$6,0,-HLOOKUP(P$56,'Input data'!$C$9:$BB$26,18,FALSE)+HLOOKUP($C$6,'Input data'!$C$9:$BB$26,18,FALSE))</f>
        <v>0.20895799999999998</v>
      </c>
      <c r="Q65" s="1">
        <f>IF(Q$56&lt;=$C$6,0,-HLOOKUP(Q$56,'Input data'!$C$9:$BB$26,18,FALSE)+HLOOKUP($C$6,'Input data'!$C$9:$BB$26,18,FALSE))</f>
        <v>0.243784</v>
      </c>
      <c r="R65" s="1">
        <f>IF(R$56&lt;=$C$6,0,-HLOOKUP(R$56,'Input data'!$C$9:$BB$26,18,FALSE)+HLOOKUP($C$6,'Input data'!$C$9:$BB$26,18,FALSE))</f>
        <v>0.27861099999999994</v>
      </c>
      <c r="S65" s="1">
        <f>IF(S$56&lt;=$C$6,0,-HLOOKUP(S$56,'Input data'!$C$9:$BB$26,18,FALSE)+HLOOKUP($C$6,'Input data'!$C$9:$BB$26,18,FALSE))</f>
        <v>0.31343679999999985</v>
      </c>
      <c r="T65" s="1">
        <f>IF(T$56&lt;=$C$6,0,-HLOOKUP(T$56,'Input data'!$C$9:$BB$26,18,FALSE)+HLOOKUP($C$6,'Input data'!$C$9:$BB$26,18,FALSE))</f>
        <v>0.34826299999999988</v>
      </c>
      <c r="U65" s="189">
        <f>IF(U$56&lt;=$C$6,0,-HLOOKUP(U$56,'Input data'!$C$9:$BB$26,18,FALSE)+HLOOKUP($C$6,'Input data'!$C$9:$BB$26,18,FALSE))</f>
        <v>0.38308919999999991</v>
      </c>
      <c r="V65" s="189">
        <f>IF(V$56&lt;=$C$6,0,-HLOOKUP(V$56,'Input data'!$C$9:$BB$26,18,FALSE)+HLOOKUP($C$6,'Input data'!$C$9:$BB$26,18,FALSE))</f>
        <v>0.41791539999999994</v>
      </c>
      <c r="W65" s="189">
        <f>IF(W$56&lt;=$C$6,0,-HLOOKUP(W$56,'Input data'!$C$9:$BB$26,18,FALSE)+HLOOKUP($C$6,'Input data'!$C$9:$BB$26,18,FALSE))</f>
        <v>0.45274169999999991</v>
      </c>
    </row>
    <row r="66" spans="2:23" outlineLevel="1" x14ac:dyDescent="0.2">
      <c r="B66" s="64" t="s">
        <v>85</v>
      </c>
      <c r="C66" s="26"/>
      <c r="D66" s="26">
        <v>0</v>
      </c>
      <c r="E66" s="26">
        <v>0</v>
      </c>
      <c r="F66" s="26">
        <v>0</v>
      </c>
      <c r="G66" s="26">
        <v>0</v>
      </c>
      <c r="H66" s="26">
        <v>0</v>
      </c>
      <c r="I66" s="26">
        <v>0</v>
      </c>
      <c r="J66" s="26">
        <v>0</v>
      </c>
      <c r="K66" s="26">
        <v>0</v>
      </c>
      <c r="L66" s="26">
        <v>0</v>
      </c>
      <c r="M66" s="26">
        <v>0</v>
      </c>
      <c r="N66" s="26">
        <v>0</v>
      </c>
      <c r="O66" s="26">
        <v>0</v>
      </c>
      <c r="P66" s="26">
        <v>0</v>
      </c>
      <c r="Q66" s="26">
        <v>0</v>
      </c>
      <c r="R66" s="26">
        <v>0</v>
      </c>
      <c r="S66" s="26">
        <v>0</v>
      </c>
      <c r="T66" s="26">
        <v>0</v>
      </c>
      <c r="U66" s="190">
        <v>0</v>
      </c>
      <c r="V66" s="190">
        <v>0</v>
      </c>
      <c r="W66" s="190">
        <v>0</v>
      </c>
    </row>
    <row r="67" spans="2:23" outlineLevel="1" x14ac:dyDescent="0.2">
      <c r="B67" s="65" t="s">
        <v>86</v>
      </c>
      <c r="C67" s="34"/>
      <c r="D67" s="34">
        <f t="shared" ref="D67:O67" si="23">SUM(D68:D71)</f>
        <v>-4.1995189999999996</v>
      </c>
      <c r="E67" s="34">
        <f t="shared" si="23"/>
        <v>-3.0311659999999998</v>
      </c>
      <c r="F67" s="34">
        <f t="shared" si="23"/>
        <v>-1.3079080000000001</v>
      </c>
      <c r="G67" s="34">
        <f t="shared" si="23"/>
        <v>-0.96876290000000354</v>
      </c>
      <c r="H67" s="34">
        <f t="shared" si="23"/>
        <v>-1.1180655222909501</v>
      </c>
      <c r="I67" s="34">
        <f t="shared" si="23"/>
        <v>-1.006204058668952</v>
      </c>
      <c r="J67" s="34">
        <f t="shared" si="23"/>
        <v>-0.80636132124303084</v>
      </c>
      <c r="K67" s="34">
        <f t="shared" si="23"/>
        <v>-0.6394615543599258</v>
      </c>
      <c r="L67" s="34">
        <f t="shared" si="23"/>
        <v>-0.60372629689107482</v>
      </c>
      <c r="M67" s="34">
        <f t="shared" si="23"/>
        <v>-0.57131394835551996</v>
      </c>
      <c r="N67" s="34">
        <f t="shared" si="23"/>
        <v>-0.55036175379895647</v>
      </c>
      <c r="O67" s="34">
        <f t="shared" si="23"/>
        <v>-0.55164605920426379</v>
      </c>
      <c r="P67" s="34">
        <f t="shared" ref="P67:T67" si="24">SUM(P68:P71)</f>
        <v>-0.5312958278363118</v>
      </c>
      <c r="Q67" s="34">
        <f t="shared" si="24"/>
        <v>-0.5119336916495858</v>
      </c>
      <c r="R67" s="34">
        <f t="shared" si="24"/>
        <v>-0.49312066962446011</v>
      </c>
      <c r="S67" s="34">
        <f t="shared" si="24"/>
        <v>-0.51937918187172616</v>
      </c>
      <c r="T67" s="34">
        <f t="shared" si="24"/>
        <v>-0.54605011437539286</v>
      </c>
      <c r="U67" s="34">
        <f t="shared" ref="U67:W67" si="25">SUM(U68:U71)</f>
        <v>-0.60728306673798849</v>
      </c>
      <c r="V67" s="34">
        <f t="shared" si="25"/>
        <v>-0.67433452537227778</v>
      </c>
      <c r="W67" s="34">
        <f t="shared" si="25"/>
        <v>-0.67664566149929883</v>
      </c>
    </row>
    <row r="68" spans="2:23" outlineLevel="1" x14ac:dyDescent="0.2">
      <c r="B68" s="64" t="s">
        <v>87</v>
      </c>
      <c r="C68" s="23"/>
      <c r="D68" s="23">
        <f t="shared" ref="D68:E68" si="26">C57*D36/100*(1/(1+D33/100))</f>
        <v>0.54019131595723491</v>
      </c>
      <c r="E68" s="23">
        <f t="shared" si="26"/>
        <v>0.63089540818418677</v>
      </c>
      <c r="F68" s="23">
        <f>E57*F36/100*(1/(1+F33/100))</f>
        <v>0.70022170831849662</v>
      </c>
      <c r="G68" s="23">
        <f>F57*G36/100*(1/(1+G33/100))</f>
        <v>0.7276301280115135</v>
      </c>
      <c r="H68" s="23">
        <f t="shared" ref="H68:W68" si="27">G57*H36/100*(1/(1+H33/100))</f>
        <v>0.82578568408477915</v>
      </c>
      <c r="I68" s="23">
        <f t="shared" si="27"/>
        <v>0.88755231766470777</v>
      </c>
      <c r="J68" s="23">
        <f>I57*J36/100*(1/(1+J33/100))</f>
        <v>0.93778348839775261</v>
      </c>
      <c r="K68" s="23">
        <f t="shared" si="27"/>
        <v>0.98155055744219255</v>
      </c>
      <c r="L68" s="23">
        <f>K57*L36/100*(1/(1+L33/100))</f>
        <v>1.0261964110422381</v>
      </c>
      <c r="M68" s="23">
        <f t="shared" si="27"/>
        <v>1.0727262637997059</v>
      </c>
      <c r="N68" s="23">
        <f t="shared" si="27"/>
        <v>1.12203996587107</v>
      </c>
      <c r="O68" s="23">
        <f t="shared" si="27"/>
        <v>1.1739845663769053</v>
      </c>
      <c r="P68" s="23">
        <f t="shared" si="27"/>
        <v>1.2305454636789721</v>
      </c>
      <c r="Q68" s="23">
        <f t="shared" si="27"/>
        <v>1.2925244091855093</v>
      </c>
      <c r="R68" s="23">
        <f t="shared" si="27"/>
        <v>1.3594590129814677</v>
      </c>
      <c r="S68" s="23">
        <f t="shared" si="27"/>
        <v>1.4312029147022545</v>
      </c>
      <c r="T68" s="23">
        <f t="shared" si="27"/>
        <v>1.5082478792357419</v>
      </c>
      <c r="U68" s="23">
        <f t="shared" si="27"/>
        <v>1.5889430347629441</v>
      </c>
      <c r="V68" s="23">
        <f t="shared" si="27"/>
        <v>1.67339812237369</v>
      </c>
      <c r="W68" s="23">
        <f t="shared" si="27"/>
        <v>1.7632299215509257</v>
      </c>
    </row>
    <row r="69" spans="2:23" outlineLevel="1" x14ac:dyDescent="0.2">
      <c r="B69" s="64" t="s">
        <v>88</v>
      </c>
      <c r="C69" s="23"/>
      <c r="D69" s="23">
        <f t="shared" ref="D69:W69" si="28">-C57*(D24/100)*(1/(1+D33/100))</f>
        <v>-2.030711865677985</v>
      </c>
      <c r="E69" s="23">
        <f t="shared" si="28"/>
        <v>-4.5086894383943449E-2</v>
      </c>
      <c r="F69" s="23">
        <f t="shared" si="28"/>
        <v>-0.33819184991247714</v>
      </c>
      <c r="G69" s="23">
        <f t="shared" si="28"/>
        <v>-0.65989907309060736</v>
      </c>
      <c r="H69" s="23">
        <f t="shared" si="28"/>
        <v>-0.86057861751283848</v>
      </c>
      <c r="I69" s="23">
        <f t="shared" si="28"/>
        <v>-0.7924433271880178</v>
      </c>
      <c r="J69" s="23">
        <f t="shared" si="28"/>
        <v>-0.63008179623212657</v>
      </c>
      <c r="K69" s="23">
        <f t="shared" si="28"/>
        <v>-0.49366751502581008</v>
      </c>
      <c r="L69" s="23">
        <f t="shared" si="28"/>
        <v>-0.4814427060533954</v>
      </c>
      <c r="M69" s="23">
        <f t="shared" si="28"/>
        <v>-0.46888941190882727</v>
      </c>
      <c r="N69" s="23">
        <f t="shared" si="28"/>
        <v>-0.46427750945642393</v>
      </c>
      <c r="O69" s="23">
        <f t="shared" si="28"/>
        <v>-0.47830198571194571</v>
      </c>
      <c r="P69" s="23">
        <f t="shared" si="28"/>
        <v>-0.50188801755806778</v>
      </c>
      <c r="Q69" s="23">
        <f t="shared" si="28"/>
        <v>-0.52790340529772073</v>
      </c>
      <c r="R69" s="23">
        <f t="shared" si="28"/>
        <v>-0.55622551663938657</v>
      </c>
      <c r="S69" s="23">
        <f t="shared" si="28"/>
        <v>-0.63074606741889871</v>
      </c>
      <c r="T69" s="23">
        <f t="shared" si="28"/>
        <v>-0.70827296803907269</v>
      </c>
      <c r="U69" s="23">
        <f t="shared" si="28"/>
        <v>-0.82214267135611485</v>
      </c>
      <c r="V69" s="23">
        <f t="shared" si="28"/>
        <v>-0.94450996169837576</v>
      </c>
      <c r="W69" s="23">
        <f t="shared" si="28"/>
        <v>-1.0068880674724527</v>
      </c>
    </row>
    <row r="70" spans="2:23" outlineLevel="1" x14ac:dyDescent="0.2">
      <c r="B70" s="64" t="s">
        <v>89</v>
      </c>
      <c r="C70" s="23"/>
      <c r="D70" s="23">
        <f t="shared" ref="D70:W70" si="29">-C57*D42/100*(1/(1+D42/100))</f>
        <v>-2.7089985503709033</v>
      </c>
      <c r="E70" s="23">
        <f t="shared" si="29"/>
        <v>-3.6169740093177798</v>
      </c>
      <c r="F70" s="23">
        <f t="shared" si="29"/>
        <v>-1.669938244176407</v>
      </c>
      <c r="G70" s="23">
        <f t="shared" si="29"/>
        <v>-1.0364935096516961</v>
      </c>
      <c r="H70" s="23">
        <f t="shared" si="29"/>
        <v>-1.0832725888628909</v>
      </c>
      <c r="I70" s="23">
        <f t="shared" si="29"/>
        <v>-1.101313049145642</v>
      </c>
      <c r="J70" s="23">
        <f t="shared" si="29"/>
        <v>-1.1140630134086569</v>
      </c>
      <c r="K70" s="23">
        <f t="shared" si="29"/>
        <v>-1.1273445967763083</v>
      </c>
      <c r="L70" s="23">
        <f t="shared" si="29"/>
        <v>-1.1484800018799175</v>
      </c>
      <c r="M70" s="23">
        <f t="shared" si="29"/>
        <v>-1.1751508002463986</v>
      </c>
      <c r="N70" s="23">
        <f t="shared" si="29"/>
        <v>-1.2081242102136025</v>
      </c>
      <c r="O70" s="23">
        <f t="shared" si="29"/>
        <v>-1.2473286398692234</v>
      </c>
      <c r="P70" s="23">
        <f t="shared" si="29"/>
        <v>-1.2599532739572161</v>
      </c>
      <c r="Q70" s="23">
        <f t="shared" si="29"/>
        <v>-1.2765546955373743</v>
      </c>
      <c r="R70" s="23">
        <f t="shared" si="29"/>
        <v>-1.2963541659665412</v>
      </c>
      <c r="S70" s="23">
        <f t="shared" si="29"/>
        <v>-1.3198360291550819</v>
      </c>
      <c r="T70" s="23">
        <f t="shared" si="29"/>
        <v>-1.3460250255720621</v>
      </c>
      <c r="U70" s="23">
        <f t="shared" si="29"/>
        <v>-1.3740834301448177</v>
      </c>
      <c r="V70" s="23">
        <f t="shared" si="29"/>
        <v>-1.403222686047592</v>
      </c>
      <c r="W70" s="23">
        <f t="shared" si="29"/>
        <v>-1.4329875155777718</v>
      </c>
    </row>
    <row r="71" spans="2:23" outlineLevel="1" x14ac:dyDescent="0.2">
      <c r="B71" s="64" t="s">
        <v>90</v>
      </c>
      <c r="C71" s="35"/>
      <c r="D71" s="35">
        <f>'Baseline NFPC'!D70</f>
        <v>1.0009165407609544E-7</v>
      </c>
      <c r="E71" s="35">
        <f>'Baseline NFPC'!E70</f>
        <v>-5.0448246335932367E-7</v>
      </c>
      <c r="F71" s="35">
        <f>'Baseline NFPC'!F70</f>
        <v>3.8577038741216541E-7</v>
      </c>
      <c r="G71" s="35">
        <f>'Baseline NFPC'!G70</f>
        <v>-4.4526921361143224E-7</v>
      </c>
      <c r="H71" s="35">
        <v>0</v>
      </c>
      <c r="I71" s="35">
        <v>0</v>
      </c>
      <c r="J71" s="35">
        <v>0</v>
      </c>
      <c r="K71" s="35">
        <v>0</v>
      </c>
      <c r="L71" s="35">
        <v>0</v>
      </c>
      <c r="M71" s="35">
        <v>0</v>
      </c>
      <c r="N71" s="35">
        <v>0</v>
      </c>
      <c r="O71" s="35">
        <v>0</v>
      </c>
      <c r="P71" s="35">
        <v>0</v>
      </c>
      <c r="Q71" s="35">
        <v>0</v>
      </c>
      <c r="R71" s="35">
        <v>0</v>
      </c>
      <c r="S71" s="35">
        <v>0</v>
      </c>
      <c r="T71" s="35">
        <v>0</v>
      </c>
      <c r="U71" s="35">
        <v>0</v>
      </c>
      <c r="V71" s="35">
        <v>0</v>
      </c>
      <c r="W71" s="35">
        <v>0</v>
      </c>
    </row>
    <row r="72" spans="2:23" outlineLevel="1" x14ac:dyDescent="0.2">
      <c r="B72" s="65" t="s">
        <v>91</v>
      </c>
      <c r="C72" s="36"/>
      <c r="D72" s="36">
        <f>'Input data'!D16</f>
        <v>3.1287919999999998</v>
      </c>
      <c r="E72" s="36">
        <f>'Input data'!E16</f>
        <v>-0.33130660000000001</v>
      </c>
      <c r="F72" s="36">
        <f>'Input data'!F16</f>
        <v>0.60000120000000001</v>
      </c>
      <c r="G72" s="36">
        <f>'Input data'!G16</f>
        <v>0.89999770000000001</v>
      </c>
      <c r="H72" s="36">
        <f>'Input data'!H16</f>
        <v>0</v>
      </c>
      <c r="I72" s="36">
        <f>'Input data'!I16</f>
        <v>0</v>
      </c>
      <c r="J72" s="36">
        <f>'Input data'!J16</f>
        <v>0</v>
      </c>
      <c r="K72" s="36">
        <f>'Input data'!K16</f>
        <v>0</v>
      </c>
      <c r="L72" s="36">
        <f>'Input data'!L16</f>
        <v>0</v>
      </c>
      <c r="M72" s="36">
        <f>'Input data'!M16</f>
        <v>0</v>
      </c>
      <c r="N72" s="36">
        <f>'Input data'!N16</f>
        <v>0</v>
      </c>
      <c r="O72" s="36">
        <f>'Input data'!O16</f>
        <v>0</v>
      </c>
      <c r="P72" s="36">
        <f>'Input data'!P16</f>
        <v>0</v>
      </c>
      <c r="Q72" s="36">
        <f>'Input data'!Q16</f>
        <v>0</v>
      </c>
      <c r="R72" s="36">
        <f>'Input data'!R16</f>
        <v>0</v>
      </c>
      <c r="S72" s="36">
        <f>'Input data'!S16</f>
        <v>0</v>
      </c>
      <c r="T72" s="36">
        <f>'Input data'!T16</f>
        <v>0</v>
      </c>
      <c r="U72" s="36">
        <f>'Input data'!U16</f>
        <v>0</v>
      </c>
      <c r="V72" s="36">
        <f>'Input data'!V16</f>
        <v>0</v>
      </c>
      <c r="W72" s="36">
        <f>'Input data'!W16</f>
        <v>0</v>
      </c>
    </row>
    <row r="73" spans="2:23" outlineLevel="1" x14ac:dyDescent="0.2">
      <c r="B73" s="64" t="s">
        <v>92</v>
      </c>
      <c r="C73" s="23"/>
      <c r="D73" s="23">
        <f t="shared" ref="D73:W73" si="30">D15</f>
        <v>3.1287919999999998</v>
      </c>
      <c r="E73" s="23">
        <f t="shared" si="30"/>
        <v>-0.33130710000000002</v>
      </c>
      <c r="F73" s="23">
        <f t="shared" si="30"/>
        <v>0.6</v>
      </c>
      <c r="G73" s="23">
        <f t="shared" si="30"/>
        <v>0.9</v>
      </c>
      <c r="H73" s="23">
        <f t="shared" si="30"/>
        <v>0</v>
      </c>
      <c r="I73" s="23">
        <f t="shared" si="30"/>
        <v>0</v>
      </c>
      <c r="J73" s="23">
        <f t="shared" si="30"/>
        <v>0</v>
      </c>
      <c r="K73" s="23">
        <f t="shared" si="30"/>
        <v>0</v>
      </c>
      <c r="L73" s="23">
        <f t="shared" si="30"/>
        <v>0</v>
      </c>
      <c r="M73" s="23">
        <f t="shared" si="30"/>
        <v>0</v>
      </c>
      <c r="N73" s="23">
        <f t="shared" si="30"/>
        <v>0</v>
      </c>
      <c r="O73" s="23">
        <f t="shared" si="30"/>
        <v>0</v>
      </c>
      <c r="P73" s="23">
        <f t="shared" si="30"/>
        <v>0</v>
      </c>
      <c r="Q73" s="23">
        <f t="shared" si="30"/>
        <v>0</v>
      </c>
      <c r="R73" s="23">
        <f t="shared" si="30"/>
        <v>0</v>
      </c>
      <c r="S73" s="23">
        <f t="shared" si="30"/>
        <v>0</v>
      </c>
      <c r="T73" s="23">
        <f t="shared" si="30"/>
        <v>0</v>
      </c>
      <c r="U73" s="23">
        <f t="shared" si="30"/>
        <v>0</v>
      </c>
      <c r="V73" s="23">
        <f t="shared" si="30"/>
        <v>0</v>
      </c>
      <c r="W73" s="23">
        <f t="shared" si="30"/>
        <v>0</v>
      </c>
    </row>
    <row r="74" spans="2:23" outlineLevel="1" x14ac:dyDescent="0.2">
      <c r="B74" s="70" t="s">
        <v>93</v>
      </c>
      <c r="C74" s="35"/>
      <c r="D74" s="35">
        <f>+D72-D73</f>
        <v>0</v>
      </c>
      <c r="E74" s="35">
        <f t="shared" ref="E74:T74" si="31">+E72-E73</f>
        <v>5.0000000001437783E-7</v>
      </c>
      <c r="F74" s="35">
        <f t="shared" si="31"/>
        <v>1.2000000000345068E-6</v>
      </c>
      <c r="G74" s="35">
        <f t="shared" si="31"/>
        <v>-2.3000000000106269E-6</v>
      </c>
      <c r="H74" s="35">
        <f t="shared" si="31"/>
        <v>0</v>
      </c>
      <c r="I74" s="35">
        <f t="shared" si="31"/>
        <v>0</v>
      </c>
      <c r="J74" s="35">
        <f t="shared" si="31"/>
        <v>0</v>
      </c>
      <c r="K74" s="35">
        <f t="shared" si="31"/>
        <v>0</v>
      </c>
      <c r="L74" s="35">
        <f t="shared" si="31"/>
        <v>0</v>
      </c>
      <c r="M74" s="35">
        <f t="shared" si="31"/>
        <v>0</v>
      </c>
      <c r="N74" s="35">
        <f t="shared" si="31"/>
        <v>0</v>
      </c>
      <c r="O74" s="35">
        <f t="shared" si="31"/>
        <v>0</v>
      </c>
      <c r="P74" s="35">
        <f t="shared" si="31"/>
        <v>0</v>
      </c>
      <c r="Q74" s="35">
        <f t="shared" si="31"/>
        <v>0</v>
      </c>
      <c r="R74" s="35">
        <f t="shared" si="31"/>
        <v>0</v>
      </c>
      <c r="S74" s="35">
        <f t="shared" si="31"/>
        <v>0</v>
      </c>
      <c r="T74" s="35">
        <f t="shared" si="31"/>
        <v>0</v>
      </c>
      <c r="U74" s="35">
        <f t="shared" ref="U74:W74" si="32">+U72-U73</f>
        <v>0</v>
      </c>
      <c r="V74" s="35">
        <f t="shared" si="32"/>
        <v>0</v>
      </c>
      <c r="W74" s="35">
        <f t="shared" si="32"/>
        <v>0</v>
      </c>
    </row>
    <row r="75" spans="2:23" ht="10.5" customHeight="1" outlineLevel="1" x14ac:dyDescent="0.2"/>
    <row r="76" spans="2:23" ht="10.5" customHeight="1" outlineLevel="1" x14ac:dyDescent="0.2">
      <c r="B76" s="71" t="s">
        <v>94</v>
      </c>
    </row>
    <row r="77" spans="2:23" x14ac:dyDescent="0.2">
      <c r="B77" s="62" t="s">
        <v>19</v>
      </c>
      <c r="C77" s="62"/>
      <c r="D77" s="63">
        <f>D59-D68</f>
        <v>-9.3683868237058932E-2</v>
      </c>
      <c r="E77" s="63">
        <f t="shared" ref="E77:T77" si="33">E59-E68</f>
        <v>-0.34320279257575687</v>
      </c>
      <c r="F77" s="63">
        <f t="shared" si="33"/>
        <v>-1.9866626203999505</v>
      </c>
      <c r="G77" s="63">
        <f>G59-G68</f>
        <v>-2.1377700281313672</v>
      </c>
      <c r="H77" s="63">
        <f t="shared" si="33"/>
        <v>-1.9797784355995955</v>
      </c>
      <c r="I77" s="63">
        <f t="shared" si="33"/>
        <v>-1.7000136460831539</v>
      </c>
      <c r="J77" s="63">
        <f t="shared" si="33"/>
        <v>-1.5794814885450998</v>
      </c>
      <c r="K77" s="63">
        <f t="shared" si="33"/>
        <v>-1.7917461562283996</v>
      </c>
      <c r="L77" s="63">
        <f t="shared" si="33"/>
        <v>-2.0252968121962684</v>
      </c>
      <c r="M77" s="63">
        <f t="shared" si="33"/>
        <v>-2.2856114669055003</v>
      </c>
      <c r="N77" s="63">
        <f t="shared" si="33"/>
        <v>-2.5467792516718566</v>
      </c>
      <c r="O77" s="63">
        <f t="shared" si="33"/>
        <v>-2.7720002530935872</v>
      </c>
      <c r="P77" s="63">
        <f t="shared" si="33"/>
        <v>-2.9943659525539013</v>
      </c>
      <c r="Q77" s="63">
        <f t="shared" si="33"/>
        <v>-3.196890299302714</v>
      </c>
      <c r="R77" s="63">
        <f t="shared" si="33"/>
        <v>-3.4305525016933354</v>
      </c>
      <c r="S77" s="63">
        <f t="shared" si="33"/>
        <v>-3.6789139972498059</v>
      </c>
      <c r="T77" s="63">
        <f t="shared" si="33"/>
        <v>-3.9021339671436786</v>
      </c>
      <c r="U77" s="63">
        <f t="shared" ref="U77:W77" si="34">U59-U68</f>
        <v>-4.1334453226708776</v>
      </c>
      <c r="V77" s="63">
        <f t="shared" si="34"/>
        <v>-4.3574666102816302</v>
      </c>
      <c r="W77" s="63">
        <f t="shared" si="34"/>
        <v>-4.551844114363794</v>
      </c>
    </row>
    <row r="78" spans="2:23" x14ac:dyDescent="0.2">
      <c r="B78" s="15" t="s">
        <v>20</v>
      </c>
      <c r="D78" s="23">
        <f>D60-D68-D64-D65-D66</f>
        <v>-1.1202903159572348</v>
      </c>
      <c r="E78" s="23">
        <f t="shared" ref="E78:W78" si="35">E60-E68-E64-E65-E66</f>
        <v>-0.81560030818418672</v>
      </c>
      <c r="F78" s="23">
        <f t="shared" si="35"/>
        <v>-1.3419108083184965</v>
      </c>
      <c r="G78" s="23">
        <f t="shared" si="35"/>
        <v>-1.3693192280115136</v>
      </c>
      <c r="H78" s="23">
        <f t="shared" si="35"/>
        <v>-1.467474784084779</v>
      </c>
      <c r="I78" s="23">
        <f t="shared" si="35"/>
        <v>-1.5292414176647078</v>
      </c>
      <c r="J78" s="23">
        <f t="shared" si="35"/>
        <v>-1.5794725883977527</v>
      </c>
      <c r="K78" s="23">
        <f t="shared" si="35"/>
        <v>-1.7917366574421947</v>
      </c>
      <c r="L78" s="23">
        <f t="shared" si="35"/>
        <v>-2.0252885110422407</v>
      </c>
      <c r="M78" s="23">
        <f t="shared" si="35"/>
        <v>-2.2856043637997048</v>
      </c>
      <c r="N78" s="23">
        <f t="shared" si="35"/>
        <v>-2.5467740658710674</v>
      </c>
      <c r="O78" s="23">
        <f t="shared" si="35"/>
        <v>-2.7719956663769088</v>
      </c>
      <c r="P78" s="23">
        <f t="shared" si="35"/>
        <v>-2.994362563678973</v>
      </c>
      <c r="Q78" s="23">
        <f t="shared" si="35"/>
        <v>-3.1968875091855118</v>
      </c>
      <c r="R78" s="23">
        <f t="shared" si="35"/>
        <v>-3.4305491129814714</v>
      </c>
      <c r="S78" s="23">
        <f t="shared" si="35"/>
        <v>-3.6789088147022553</v>
      </c>
      <c r="T78" s="23">
        <f t="shared" si="35"/>
        <v>-3.9021299792357405</v>
      </c>
      <c r="U78" s="23">
        <f t="shared" si="35"/>
        <v>-4.1334413347629466</v>
      </c>
      <c r="V78" s="23">
        <f t="shared" si="35"/>
        <v>-4.357462622373693</v>
      </c>
      <c r="W78" s="23">
        <f t="shared" si="35"/>
        <v>-4.5518407215509251</v>
      </c>
    </row>
    <row r="79" spans="2:23" x14ac:dyDescent="0.2">
      <c r="B79" s="24" t="s">
        <v>95</v>
      </c>
      <c r="C79" s="24"/>
      <c r="D79" s="239">
        <f>'Input data'!D45</f>
        <v>7.7843692724171865</v>
      </c>
      <c r="E79" s="239">
        <f>'Input data'!E45</f>
        <v>7.6971736647214657</v>
      </c>
      <c r="F79" s="239">
        <f>'Input data'!F45</f>
        <v>6.6313654883524142</v>
      </c>
      <c r="G79" s="35">
        <f>'Input data'!G33+G42-(G$12-F$12)/'Input data'!$C$64*100</f>
        <v>3.9167889999999996</v>
      </c>
      <c r="H79" s="35">
        <f>'Input data'!H33+H42-(H$12-G$12)/'Input data'!$C$64*100</f>
        <v>3.7067224999999997</v>
      </c>
      <c r="I79" s="35">
        <f>'Input data'!I33+I42-(I$12-H$12)/'Input data'!$C$64*100</f>
        <v>3.4533160000000001</v>
      </c>
      <c r="J79" s="35">
        <f>'Input data'!J33+J42-(J$12-I$12)/'Input data'!$C$64*100</f>
        <v>3.4326905000000001</v>
      </c>
      <c r="K79" s="35">
        <f>'Input data'!K33+K42-(K$12-J$12)/'Input data'!$C$64*100</f>
        <v>3.4636039999999997</v>
      </c>
      <c r="L79" s="35">
        <f>'Input data'!L33+L42-(L$12-K$12)/'Input data'!$C$64*100</f>
        <v>3.4709364999999996</v>
      </c>
      <c r="M79" s="35">
        <f>'Input data'!M33+M42-(M$12-L$12)/'Input data'!$C$64*100</f>
        <v>3.4730976</v>
      </c>
      <c r="N79" s="35">
        <f>'Input data'!N33+N42-(N$12-M$12)/'Input data'!$C$64*100</f>
        <v>3.4878087999999998</v>
      </c>
      <c r="O79" s="35">
        <f>'Input data'!O33+O42-(O$12-N$12)/'Input data'!$C$64*100</f>
        <v>3.5374805999999999</v>
      </c>
      <c r="P79" s="35">
        <f>'Input data'!P33+P42-(P$12-O$12)/'Input data'!$C$64*100</f>
        <v>3.537506</v>
      </c>
      <c r="Q79" s="35">
        <f>'Input data'!Q33+Q42-(Q$12-P$12)/'Input data'!$C$64*100</f>
        <v>3.5375319999999997</v>
      </c>
      <c r="R79" s="35">
        <f>'Input data'!R33+R42-(R$12-Q$12)/'Input data'!$C$64*100</f>
        <v>3.5375579999999998</v>
      </c>
      <c r="S79" s="35">
        <f>'Input data'!S33+S42-(S$12-R$12)/'Input data'!$C$64*100</f>
        <v>3.6198299999999999</v>
      </c>
      <c r="T79" s="35">
        <f>'Input data'!T33+T42-(T$12-S$12)/'Input data'!$C$64*100</f>
        <v>3.6982679999999997</v>
      </c>
      <c r="U79" s="35">
        <f>'Input data'!U33+U42-(U$12-T$12)/'Input data'!$C$64*100</f>
        <v>3.8326529999999996</v>
      </c>
      <c r="V79" s="35">
        <f>'Input data'!V33+V42-(V$12-U$12)/'Input data'!$C$64*100</f>
        <v>3.9699210000000003</v>
      </c>
      <c r="W79" s="35">
        <f>'Input data'!W33+W42-(W$12-V$12)/'Input data'!$C$64*100</f>
        <v>3.9944220000000001</v>
      </c>
    </row>
    <row r="80" spans="2:23" x14ac:dyDescent="0.2">
      <c r="D80" s="23"/>
      <c r="E80" s="23"/>
      <c r="F80" s="23"/>
      <c r="G80" s="23"/>
      <c r="H80" s="23"/>
      <c r="I80" s="23"/>
      <c r="J80" s="23"/>
      <c r="K80" s="23"/>
      <c r="L80" s="23"/>
      <c r="M80" s="23"/>
      <c r="N80" s="23"/>
      <c r="O80" s="23"/>
      <c r="P80" s="23"/>
      <c r="Q80" s="23"/>
      <c r="R80" s="23"/>
      <c r="S80" s="23"/>
      <c r="T80" s="23"/>
      <c r="U80" s="23"/>
      <c r="V80" s="23"/>
      <c r="W80" s="23"/>
    </row>
    <row r="81" spans="2:23" x14ac:dyDescent="0.2">
      <c r="B81" s="90" t="s">
        <v>115</v>
      </c>
      <c r="C81" s="37"/>
      <c r="D81" s="154">
        <f ca="1">AVERAGE(OFFSET($G$79,0,0,1,'Criteria results'!F5))</f>
        <v>3.6273795</v>
      </c>
      <c r="E81" s="23"/>
      <c r="F81" s="23"/>
      <c r="G81" s="303"/>
      <c r="H81" s="303"/>
      <c r="I81" s="303"/>
      <c r="J81" s="303"/>
      <c r="K81" s="303"/>
      <c r="L81" s="303"/>
      <c r="M81" s="303"/>
      <c r="N81" s="303"/>
      <c r="O81" s="303"/>
      <c r="P81" s="303"/>
      <c r="Q81" s="303"/>
      <c r="R81" s="303"/>
      <c r="S81" s="303"/>
      <c r="T81" s="303"/>
      <c r="U81" s="23"/>
      <c r="V81" s="23"/>
      <c r="W81" s="23"/>
    </row>
    <row r="82" spans="2:23" x14ac:dyDescent="0.2">
      <c r="B82" s="62"/>
      <c r="C82" s="62"/>
      <c r="D82" s="63"/>
      <c r="E82" s="23"/>
      <c r="F82" s="23"/>
      <c r="G82" s="23"/>
      <c r="H82" s="23"/>
      <c r="I82" s="23"/>
      <c r="J82" s="23"/>
      <c r="K82" s="23"/>
      <c r="L82" s="23"/>
      <c r="M82" s="23"/>
      <c r="N82" s="23"/>
      <c r="O82" s="23"/>
      <c r="P82" s="23"/>
      <c r="Q82" s="23"/>
      <c r="R82" s="23"/>
      <c r="S82" s="23"/>
      <c r="T82" s="23"/>
      <c r="U82" s="23"/>
      <c r="V82" s="23"/>
      <c r="W82" s="23"/>
    </row>
    <row r="83" spans="2:23" s="72" customFormat="1" ht="12.75" outlineLevel="1" x14ac:dyDescent="0.2">
      <c r="B83" s="73" t="s">
        <v>96</v>
      </c>
      <c r="C83" s="74"/>
      <c r="E83" s="75"/>
      <c r="F83" s="74"/>
    </row>
    <row r="84" spans="2:23" x14ac:dyDescent="0.2">
      <c r="C84" s="23"/>
      <c r="D84" s="23"/>
      <c r="E84" s="23"/>
      <c r="F84" s="23"/>
      <c r="G84" s="23"/>
      <c r="H84" s="23"/>
      <c r="I84" s="23"/>
      <c r="J84" s="23"/>
      <c r="K84" s="23"/>
      <c r="L84" s="23"/>
      <c r="M84" s="23"/>
      <c r="N84" s="23"/>
      <c r="O84" s="23"/>
      <c r="P84" s="23"/>
      <c r="Q84" s="23"/>
      <c r="R84" s="23"/>
      <c r="S84" s="23"/>
      <c r="T84" s="23"/>
      <c r="U84" s="23"/>
      <c r="V84" s="23"/>
      <c r="W84" s="23"/>
    </row>
    <row r="85" spans="2:23" x14ac:dyDescent="0.2">
      <c r="B85" s="15" t="s">
        <v>97</v>
      </c>
      <c r="D85" s="18">
        <f t="shared" ref="D85:W85" si="36">IF((D90-C90*D43/((1+D24/100)*(1+D42/100)))&gt;0,1,0)</f>
        <v>1</v>
      </c>
      <c r="E85" s="18">
        <f t="shared" si="36"/>
        <v>1</v>
      </c>
      <c r="F85" s="18">
        <f t="shared" si="36"/>
        <v>1</v>
      </c>
      <c r="G85" s="18">
        <f t="shared" si="36"/>
        <v>1</v>
      </c>
      <c r="H85" s="18">
        <f t="shared" si="36"/>
        <v>1</v>
      </c>
      <c r="I85" s="18">
        <f t="shared" si="36"/>
        <v>1</v>
      </c>
      <c r="J85" s="18">
        <f t="shared" si="36"/>
        <v>1</v>
      </c>
      <c r="K85" s="18">
        <f t="shared" si="36"/>
        <v>1</v>
      </c>
      <c r="L85" s="18">
        <f t="shared" si="36"/>
        <v>1</v>
      </c>
      <c r="M85" s="18">
        <f t="shared" si="36"/>
        <v>1</v>
      </c>
      <c r="N85" s="18">
        <f t="shared" si="36"/>
        <v>1</v>
      </c>
      <c r="O85" s="18">
        <f t="shared" si="36"/>
        <v>1</v>
      </c>
      <c r="P85" s="18">
        <f t="shared" si="36"/>
        <v>1</v>
      </c>
      <c r="Q85" s="18">
        <f t="shared" si="36"/>
        <v>1</v>
      </c>
      <c r="R85" s="18">
        <f t="shared" si="36"/>
        <v>1</v>
      </c>
      <c r="S85" s="18">
        <f t="shared" si="36"/>
        <v>1</v>
      </c>
      <c r="T85" s="18">
        <f t="shared" si="36"/>
        <v>1</v>
      </c>
      <c r="U85" s="18">
        <f t="shared" si="36"/>
        <v>1</v>
      </c>
      <c r="V85" s="18">
        <f t="shared" si="36"/>
        <v>1</v>
      </c>
      <c r="W85" s="18">
        <f t="shared" si="36"/>
        <v>1</v>
      </c>
    </row>
    <row r="86" spans="2:23" x14ac:dyDescent="0.2">
      <c r="B86" s="15" t="s">
        <v>98</v>
      </c>
      <c r="D86" s="18">
        <f t="shared" ref="D86:W86" si="37">IF(AND(D85=0,ABS(D90-C90*D43/((1+D24/100)*(1+D42/100)))&lt;((C96*C90*D43/((1+D24/100)*(1+D42/100))+(D39*C90*C97*D43/((1+D24/100)*(1+D42/100)))))),1,0)</f>
        <v>0</v>
      </c>
      <c r="E86" s="18">
        <f t="shared" si="37"/>
        <v>0</v>
      </c>
      <c r="F86" s="18">
        <f t="shared" si="37"/>
        <v>0</v>
      </c>
      <c r="G86" s="18">
        <f t="shared" si="37"/>
        <v>0</v>
      </c>
      <c r="H86" s="18">
        <f t="shared" si="37"/>
        <v>0</v>
      </c>
      <c r="I86" s="18">
        <f t="shared" si="37"/>
        <v>0</v>
      </c>
      <c r="J86" s="18">
        <f t="shared" si="37"/>
        <v>0</v>
      </c>
      <c r="K86" s="18">
        <f t="shared" si="37"/>
        <v>0</v>
      </c>
      <c r="L86" s="18">
        <f t="shared" si="37"/>
        <v>0</v>
      </c>
      <c r="M86" s="18">
        <f t="shared" si="37"/>
        <v>0</v>
      </c>
      <c r="N86" s="18">
        <f t="shared" si="37"/>
        <v>0</v>
      </c>
      <c r="O86" s="18">
        <f t="shared" si="37"/>
        <v>0</v>
      </c>
      <c r="P86" s="18">
        <f t="shared" si="37"/>
        <v>0</v>
      </c>
      <c r="Q86" s="18">
        <f t="shared" si="37"/>
        <v>0</v>
      </c>
      <c r="R86" s="18">
        <f t="shared" si="37"/>
        <v>0</v>
      </c>
      <c r="S86" s="18">
        <f t="shared" si="37"/>
        <v>0</v>
      </c>
      <c r="T86" s="18">
        <f t="shared" si="37"/>
        <v>0</v>
      </c>
      <c r="U86" s="18">
        <f t="shared" si="37"/>
        <v>0</v>
      </c>
      <c r="V86" s="18">
        <f t="shared" si="37"/>
        <v>0</v>
      </c>
      <c r="W86" s="18">
        <f t="shared" si="37"/>
        <v>0</v>
      </c>
    </row>
    <row r="88" spans="2:23" x14ac:dyDescent="0.2">
      <c r="H88" s="27"/>
      <c r="I88" s="27"/>
      <c r="J88" s="27"/>
      <c r="K88" s="27"/>
      <c r="L88" s="27"/>
      <c r="M88" s="27"/>
      <c r="N88" s="27"/>
      <c r="O88" s="27"/>
      <c r="P88" s="27"/>
      <c r="Q88" s="27"/>
      <c r="R88" s="27"/>
      <c r="S88" s="27"/>
      <c r="T88" s="27"/>
    </row>
    <row r="89" spans="2:23" x14ac:dyDescent="0.2">
      <c r="B89" s="37"/>
      <c r="C89" s="67">
        <v>2021</v>
      </c>
      <c r="D89" s="67">
        <v>2022</v>
      </c>
      <c r="E89" s="67">
        <v>2023</v>
      </c>
      <c r="F89" s="67">
        <v>2024</v>
      </c>
      <c r="G89" s="67">
        <v>2025</v>
      </c>
      <c r="H89" s="67">
        <v>2026</v>
      </c>
      <c r="I89" s="67">
        <v>2027</v>
      </c>
      <c r="J89" s="67">
        <v>2028</v>
      </c>
      <c r="K89" s="67">
        <v>2029</v>
      </c>
      <c r="L89" s="67">
        <v>2030</v>
      </c>
      <c r="M89" s="67">
        <v>2031</v>
      </c>
      <c r="N89" s="67">
        <v>2032</v>
      </c>
      <c r="O89" s="67">
        <v>2033</v>
      </c>
      <c r="P89" s="67">
        <v>2034</v>
      </c>
      <c r="Q89" s="67">
        <v>2035</v>
      </c>
      <c r="R89" s="67">
        <v>2036</v>
      </c>
      <c r="S89" s="67">
        <v>2037</v>
      </c>
      <c r="T89" s="67">
        <v>2038</v>
      </c>
      <c r="U89" s="67">
        <v>2039</v>
      </c>
      <c r="V89" s="67">
        <v>2040</v>
      </c>
      <c r="W89" s="67">
        <v>2041</v>
      </c>
    </row>
    <row r="90" spans="2:23" x14ac:dyDescent="0.2">
      <c r="B90" s="84" t="s">
        <v>76</v>
      </c>
      <c r="C90" s="88">
        <f>C57</f>
        <v>51.650089999999999</v>
      </c>
      <c r="D90" s="88">
        <f>D57</f>
        <v>50.132855552279821</v>
      </c>
      <c r="E90" s="88">
        <f>E57</f>
        <v>46.482690336671389</v>
      </c>
      <c r="F90" s="88">
        <f>F57</f>
        <v>47.061224448752846</v>
      </c>
      <c r="G90" s="88">
        <f>G57</f>
        <v>48.402599148872696</v>
      </c>
      <c r="H90" s="88">
        <f t="shared" ref="H90:W90" si="38">G90*(1+H103/100)*H43-H60-H61+H62+H63+H64+H65+H66+H72</f>
        <v>48.438526378096554</v>
      </c>
      <c r="I90" s="88">
        <f t="shared" si="38"/>
        <v>48.244783647846042</v>
      </c>
      <c r="J90" s="88">
        <f t="shared" si="38"/>
        <v>48.080120326750361</v>
      </c>
      <c r="K90" s="88">
        <f t="shared" si="38"/>
        <v>48.250854371176644</v>
      </c>
      <c r="L90" s="88">
        <f t="shared" si="38"/>
        <v>48.646228475439599</v>
      </c>
      <c r="M90" s="88">
        <f t="shared" si="38"/>
        <v>49.287799730189867</v>
      </c>
      <c r="N90" s="88">
        <f t="shared" si="38"/>
        <v>50.162177262191697</v>
      </c>
      <c r="O90" s="88">
        <f t="shared" si="38"/>
        <v>51.20854688970411</v>
      </c>
      <c r="P90" s="88">
        <f t="shared" si="38"/>
        <v>52.441071550742734</v>
      </c>
      <c r="Q90" s="88">
        <f t="shared" si="38"/>
        <v>53.833503749210344</v>
      </c>
      <c r="R90" s="88">
        <f t="shared" si="38"/>
        <v>55.411476568297743</v>
      </c>
      <c r="S90" s="88">
        <f t="shared" si="38"/>
        <v>57.13980846897357</v>
      </c>
      <c r="T90" s="88">
        <f t="shared" si="38"/>
        <v>58.987644442506138</v>
      </c>
      <c r="U90" s="88">
        <f t="shared" si="38"/>
        <v>60.924863663676092</v>
      </c>
      <c r="V90" s="88">
        <f t="shared" si="38"/>
        <v>62.934597626211755</v>
      </c>
      <c r="W90" s="88">
        <f t="shared" si="38"/>
        <v>65.046566157525319</v>
      </c>
    </row>
    <row r="91" spans="2:23" x14ac:dyDescent="0.2">
      <c r="B91" s="15" t="s">
        <v>99</v>
      </c>
      <c r="C91" s="23"/>
      <c r="D91" s="181">
        <f>'Input data'!C66*$D$90</f>
        <v>39.329266510759851</v>
      </c>
      <c r="E91" s="23">
        <f t="shared" ref="E91:W91" si="39">IF(E90=0,0,IF(E85=1,D90*E43/((1+E24/100)*(1+E42/100))-E92-E93,IF(AND(E85=0,E86=1),(1-D96-E39*D97)*D90*E43/((1+E24/100)*(1+E42/100)),E90)))</f>
        <v>38.964118820558589</v>
      </c>
      <c r="F91" s="23">
        <f t="shared" si="39"/>
        <v>37.312197728032551</v>
      </c>
      <c r="G91" s="23">
        <f t="shared" si="39"/>
        <v>38.021372011051291</v>
      </c>
      <c r="H91" s="23">
        <f t="shared" si="39"/>
        <v>38.899051662447</v>
      </c>
      <c r="I91" s="23">
        <f t="shared" si="39"/>
        <v>38.934743565947329</v>
      </c>
      <c r="J91" s="23">
        <f t="shared" si="39"/>
        <v>38.862319034219489</v>
      </c>
      <c r="K91" s="23">
        <f t="shared" si="39"/>
        <v>38.792514516659743</v>
      </c>
      <c r="L91" s="23">
        <f t="shared" si="39"/>
        <v>38.892107959037446</v>
      </c>
      <c r="M91" s="23">
        <f t="shared" si="39"/>
        <v>39.174054517641324</v>
      </c>
      <c r="N91" s="23">
        <f t="shared" si="39"/>
        <v>39.648292440449609</v>
      </c>
      <c r="O91" s="23">
        <f t="shared" si="39"/>
        <v>40.294380281848127</v>
      </c>
      <c r="P91" s="23">
        <f t="shared" si="39"/>
        <v>41.129994194189472</v>
      </c>
      <c r="Q91" s="23">
        <f t="shared" si="39"/>
        <v>42.114924263420924</v>
      </c>
      <c r="R91" s="23">
        <f t="shared" si="39"/>
        <v>43.228126457105873</v>
      </c>
      <c r="S91" s="23">
        <f t="shared" si="39"/>
        <v>44.45397775048788</v>
      </c>
      <c r="T91" s="23">
        <f t="shared" si="39"/>
        <v>45.799943509706821</v>
      </c>
      <c r="U91" s="23">
        <f t="shared" si="39"/>
        <v>47.213396483252083</v>
      </c>
      <c r="V91" s="23">
        <f t="shared" si="39"/>
        <v>48.693107312652813</v>
      </c>
      <c r="W91" s="23">
        <f t="shared" si="39"/>
        <v>50.282381477747123</v>
      </c>
    </row>
    <row r="92" spans="2:23" x14ac:dyDescent="0.2">
      <c r="B92" s="83" t="s">
        <v>100</v>
      </c>
      <c r="C92" s="23"/>
      <c r="D92" s="181">
        <f>'Input data'!C67*$D$90</f>
        <v>3.8609486574617775</v>
      </c>
      <c r="E92" s="23">
        <f t="shared" ref="E92:W92" si="40">IF(E90=0,0,IF(E85=1,E39*D90*D97*E43/((1+E24/100)*(1+E42/100)),IF(AND(E85=0,E86=1),(E39*D90*D97*E43/((1+E24/100)*(1+E42/100)))*(1-ABS(E90-D90*E43/((1+E24/100)*(1+E42/100)))/((E39*D90*D97*E43/((1+E24/100)*(1+E42/100)))+(D96*D90*E43/((1+E24/100)*(1+E42/100))))),0)))</f>
        <v>3.8213719927815011</v>
      </c>
      <c r="F92" s="23">
        <f t="shared" si="40"/>
        <v>3.6353337164228705</v>
      </c>
      <c r="G92" s="23">
        <f t="shared" si="40"/>
        <v>3.738455376011955</v>
      </c>
      <c r="H92" s="23">
        <f t="shared" si="40"/>
        <v>3.8596222998565448</v>
      </c>
      <c r="I92" s="23">
        <f t="shared" si="40"/>
        <v>3.8981216939201846</v>
      </c>
      <c r="J92" s="23">
        <f t="shared" si="40"/>
        <v>3.9258206074643032</v>
      </c>
      <c r="K92" s="23">
        <f t="shared" si="40"/>
        <v>3.9537133668166997</v>
      </c>
      <c r="L92" s="23">
        <f t="shared" si="40"/>
        <v>3.9989552873138976</v>
      </c>
      <c r="M92" s="23">
        <f t="shared" si="40"/>
        <v>4.0633492631267831</v>
      </c>
      <c r="N92" s="23">
        <f t="shared" si="40"/>
        <v>4.1484309431658923</v>
      </c>
      <c r="O92" s="23">
        <f t="shared" si="40"/>
        <v>4.2525674528150574</v>
      </c>
      <c r="P92" s="23">
        <f t="shared" si="40"/>
        <v>4.3407560414442026</v>
      </c>
      <c r="Q92" s="23">
        <f t="shared" si="40"/>
        <v>4.4447030813642927</v>
      </c>
      <c r="R92" s="23">
        <f t="shared" si="40"/>
        <v>4.5621876383708564</v>
      </c>
      <c r="S92" s="23">
        <f t="shared" si="40"/>
        <v>4.6915608977624634</v>
      </c>
      <c r="T92" s="23">
        <f t="shared" si="40"/>
        <v>4.8336107354872651</v>
      </c>
      <c r="U92" s="23">
        <f t="shared" si="40"/>
        <v>4.9827830039112815</v>
      </c>
      <c r="V92" s="23">
        <f t="shared" si="40"/>
        <v>5.1389479596364405</v>
      </c>
      <c r="W92" s="23">
        <f t="shared" si="40"/>
        <v>5.3066759539822046</v>
      </c>
    </row>
    <row r="93" spans="2:23" x14ac:dyDescent="0.2">
      <c r="B93" s="83" t="s">
        <v>101</v>
      </c>
      <c r="C93" s="23"/>
      <c r="D93" s="181">
        <f>'Input data'!C68*$D$90</f>
        <v>3.7201656699518564</v>
      </c>
      <c r="E93" s="23">
        <f t="shared" ref="E93:W93" si="41">IF(E90=0,0,IF(E85=1,(1-D97)*D90*E43/((1+E24/100)*(1+E42/100)),IF(AND(E85=0,E86=1),(D96*D90*E43/((1+E24/100)*(1+E42/100)))*(1-ABS(E90-D90*E43/((1+E24/100)*(1+E42/100)))/((E39*D90*D97*E43/((1+E24/100)*(1+E42/100)))+(D96*D90*E43/((1+E24/100)*(1+E42/100))))),0)))</f>
        <v>3.6853038352380172</v>
      </c>
      <c r="F93" s="23">
        <f t="shared" si="41"/>
        <v>3.527028798127084</v>
      </c>
      <c r="G93" s="23">
        <f t="shared" si="41"/>
        <v>3.6049999424641177</v>
      </c>
      <c r="H93" s="23">
        <f t="shared" si="41"/>
        <v>3.700073980193415</v>
      </c>
      <c r="I93" s="23">
        <f t="shared" si="41"/>
        <v>3.7119047418953848</v>
      </c>
      <c r="J93" s="23">
        <f t="shared" si="41"/>
        <v>3.712499196521466</v>
      </c>
      <c r="K93" s="23">
        <f t="shared" si="41"/>
        <v>3.7128803314717915</v>
      </c>
      <c r="L93" s="23">
        <f t="shared" si="41"/>
        <v>3.7298684168919904</v>
      </c>
      <c r="M93" s="23">
        <f t="shared" si="41"/>
        <v>3.7647844825162635</v>
      </c>
      <c r="N93" s="23">
        <f t="shared" si="41"/>
        <v>3.8186746269043437</v>
      </c>
      <c r="O93" s="23">
        <f t="shared" si="41"/>
        <v>3.8895989019473372</v>
      </c>
      <c r="P93" s="23">
        <f t="shared" si="41"/>
        <v>3.9759553625551569</v>
      </c>
      <c r="Q93" s="23">
        <f t="shared" si="41"/>
        <v>4.0769861051224243</v>
      </c>
      <c r="R93" s="23">
        <f t="shared" si="41"/>
        <v>4.1906099711276905</v>
      </c>
      <c r="S93" s="23">
        <f t="shared" si="41"/>
        <v>4.3153558234734239</v>
      </c>
      <c r="T93" s="23">
        <f t="shared" si="41"/>
        <v>4.4519562301683528</v>
      </c>
      <c r="U93" s="23">
        <f t="shared" si="41"/>
        <v>4.5952388538418427</v>
      </c>
      <c r="V93" s="23">
        <f t="shared" si="41"/>
        <v>4.7450757436408733</v>
      </c>
      <c r="W93" s="23">
        <f t="shared" si="41"/>
        <v>4.90566461143219</v>
      </c>
    </row>
    <row r="94" spans="2:23" x14ac:dyDescent="0.2">
      <c r="B94" s="83" t="s">
        <v>102</v>
      </c>
      <c r="C94" s="23"/>
      <c r="D94" s="181">
        <f>'Input data'!C69*$D$90</f>
        <v>2.9669217367786547</v>
      </c>
      <c r="E94" s="23">
        <f>IF(E90=0,0,IF(E85=1,'Input data'!$C$58*(E90-D90*E43/((1+E24/100)*(1+E42/100))),0))</f>
        <v>1.0917151169866962E-2</v>
      </c>
      <c r="F94" s="23">
        <f>IF(F90=0,0,IF(F85=1,'Input data'!$C$58*(F90-E90*F43/((1+F24/100)*(1+F42/100))),0))</f>
        <v>2.3738857259036092</v>
      </c>
      <c r="G94" s="23">
        <f>IF(G90=0,0,IF(G85=1,'Input data'!$C$58*(G90-F90*G43/((1+G24/100)*(1+G42/100))),0))</f>
        <v>2.7878853170403475</v>
      </c>
      <c r="H94" s="23">
        <f>IF(H90=0,0,IF(H85=1,'Input data'!$C$58*(H90-G90*H43/((1+H24/100)*(1+H42/100))),0))</f>
        <v>1.8169222574428563</v>
      </c>
      <c r="I94" s="23">
        <f>IF(I90=0,0,IF(I85=1,'Input data'!$C$58*(I90-H90*I43/((1+I24/100)*(1+I42/100))),0))</f>
        <v>1.5601708635590792</v>
      </c>
      <c r="J94" s="23">
        <f>IF(J90=0,0,IF(J85=1,'Input data'!$C$58*(J90-I90*J43/((1+J24/100)*(1+J42/100))),0))</f>
        <v>1.4495536571936833</v>
      </c>
      <c r="K94" s="23">
        <f>IF(K90=0,0,IF(K85=1,'Input data'!$C$58*(K90-J90*K43/((1+K24/100)*(1+K42/100))),0))</f>
        <v>1.6443574757662887</v>
      </c>
      <c r="L94" s="23">
        <f>IF(L90=0,0,IF(L85=1,'Input data'!$C$58*(L90-K90*L43/((1+L24/100)*(1+L42/100))),0))</f>
        <v>1.8586963014843643</v>
      </c>
      <c r="M94" s="23">
        <f>IF(M90=0,0,IF(M85=1,'Input data'!$C$58*(M90-L90*M43/((1+M24/100)*(1+M42/100))),0))</f>
        <v>2.0975975247601473</v>
      </c>
      <c r="N94" s="23">
        <f>IF(N90=0,0,IF(N85=1,'Input data'!$C$58*(N90-M90*N43/((1+N24/100)*(1+N42/100))),0))</f>
        <v>2.3372816997851742</v>
      </c>
      <c r="O94" s="23">
        <f>IF(O90=0,0,IF(O85=1,'Input data'!$C$58*(O90-N90*O43/((1+O24/100)*(1+O42/100))),0))</f>
        <v>2.5439760666741593</v>
      </c>
      <c r="P94" s="23">
        <f>IF(P90=0,0,IF(P85=1,'Input data'!$C$58*(P90-O90*P43/((1+P24/100)*(1+P42/100))),0))</f>
        <v>2.7480500081700123</v>
      </c>
      <c r="Q94" s="23">
        <f>IF(Q90=0,0,IF(Q85=1,'Input data'!$C$58*(Q90-P90*Q43/((1+Q24/100)*(1+Q42/100))),0))</f>
        <v>2.9339147426601211</v>
      </c>
      <c r="R94" s="23">
        <f>IF(R90=0,0,IF(R85=1,'Input data'!$C$58*(R90-Q90*R43/((1+R24/100)*(1+R42/100))),0))</f>
        <v>3.1483559390145279</v>
      </c>
      <c r="S94" s="23">
        <f>IF(S90=0,0,IF(S85=1,'Input data'!$C$58*(S90-R90*S43/((1+S24/100)*(1+S42/100))),0))</f>
        <v>3.3762872676188316</v>
      </c>
      <c r="T94" s="23">
        <f>IF(T90=0,0,IF(T85=1,'Input data'!$C$58*(T90-S90*T43/((1+T24/100)*(1+T42/100))),0))</f>
        <v>3.5811452074332504</v>
      </c>
      <c r="U94" s="23">
        <f>IF(U90=0,0,IF(U85=1,'Input data'!$C$58*(U90-T90*U43/((1+U24/100)*(1+U42/100))),0))</f>
        <v>3.7934289371170449</v>
      </c>
      <c r="V94" s="23">
        <f>IF(V90=0,0,IF(V85=1,'Input data'!$C$58*(V90-U90*V43/((1+V24/100)*(1+V42/100))),0))</f>
        <v>3.9990222784131819</v>
      </c>
      <c r="W94" s="23">
        <f>IF(W90=0,0,IF(W85=1,'Input data'!$C$58*(W90-V90*W43/((1+W24/100)*(1+W42/100))),0))</f>
        <v>4.1774103278850525</v>
      </c>
    </row>
    <row r="95" spans="2:23" x14ac:dyDescent="0.2">
      <c r="B95" s="85" t="s">
        <v>103</v>
      </c>
      <c r="C95" s="35"/>
      <c r="D95" s="182">
        <f>'Input data'!C70*$D$90</f>
        <v>0.25555417732757374</v>
      </c>
      <c r="E95" s="35">
        <f>IF(E90=0,0,IF(E85=1,'Input data'!$C$57*(E90-D90*E43/((1+E24/100)*(1+E42/100))),0))</f>
        <v>9.7853692341582331E-4</v>
      </c>
      <c r="F95" s="35">
        <f>IF(F90=0,0,IF(F85=1,'Input data'!$C$57*(F90-E90*F43/((1+F24/100)*(1+F42/100))),0))</f>
        <v>0.21277848026673093</v>
      </c>
      <c r="G95" s="35">
        <f>IF(G90=0,0,IF(G85=1,'Input data'!$C$57*(G90-F90*G43/((1+G24/100)*(1+G42/100))),0))</f>
        <v>0.24988650230498299</v>
      </c>
      <c r="H95" s="35">
        <f>IF(H90=0,0,IF(H85=1,'Input data'!$C$57*(H90-G90*H43/((1+H24/100)*(1+H42/100))),0))</f>
        <v>0.16285617815673528</v>
      </c>
      <c r="I95" s="35">
        <f>IF(I90=0,0,IF(I85=1,'Input data'!$C$57*(I90-H90*I43/((1+I24/100)*(1+I42/100))),0))</f>
        <v>0.13984278252407067</v>
      </c>
      <c r="J95" s="35">
        <f>IF(J90=0,0,IF(J85=1,'Input data'!$C$57*(J90-I90*J43/((1+J24/100)*(1+J42/100))),0))</f>
        <v>0.12992783135142272</v>
      </c>
      <c r="K95" s="35">
        <f>IF(K90=0,0,IF(K85=1,'Input data'!$C$57*(K90-J90*K43/((1+K24/100)*(1+K42/100))),0))</f>
        <v>0.14738868046211742</v>
      </c>
      <c r="L95" s="35">
        <f>IF(L90=0,0,IF(L85=1,'Input data'!$C$57*(L90-K90*L43/((1+L24/100)*(1+L42/100))),0))</f>
        <v>0.16660051071190243</v>
      </c>
      <c r="M95" s="35">
        <f>IF(M90=0,0,IF(M85=1,'Input data'!$C$57*(M90-L90*M43/((1+M24/100)*(1+M42/100))),0))</f>
        <v>0.18801394214535305</v>
      </c>
      <c r="N95" s="35">
        <f>IF(N90=0,0,IF(N85=1,'Input data'!$C$57*(N90-M90*N43/((1+N24/100)*(1+N42/100))),0))</f>
        <v>0.20949755188667607</v>
      </c>
      <c r="O95" s="35">
        <f>IF(O90=0,0,IF(O85=1,'Input data'!$C$57*(O90-N90*O43/((1+O24/100)*(1+O42/100))),0))</f>
        <v>0.22802418641942784</v>
      </c>
      <c r="P95" s="35">
        <f>IF(P90=0,0,IF(P85=1,'Input data'!$C$57*(P90-O90*P43/((1+P24/100)*(1+P42/100))),0))</f>
        <v>0.24631594438389379</v>
      </c>
      <c r="Q95" s="35">
        <f>IF(Q90=0,0,IF(Q85=1,'Input data'!$C$57*(Q90-P90*Q43/((1+Q24/100)*(1+Q42/100))),0))</f>
        <v>0.26297555664258032</v>
      </c>
      <c r="R95" s="35">
        <f>IF(R90=0,0,IF(R85=1,'Input data'!$C$57*(R90-Q90*R43/((1+R24/100)*(1+R42/100))),0))</f>
        <v>0.28219656267879217</v>
      </c>
      <c r="S95" s="35">
        <f>IF(S90=0,0,IF(S85=1,'Input data'!$C$57*(S90-R90*S43/((1+S24/100)*(1+S42/100))),0))</f>
        <v>0.30262672963096915</v>
      </c>
      <c r="T95" s="35">
        <f>IF(T90=0,0,IF(T85=1,'Input data'!$C$57*(T90-S90*T43/((1+T24/100)*(1+T42/100))),0))</f>
        <v>0.3209887597104471</v>
      </c>
      <c r="U95" s="35">
        <f>IF(U90=0,0,IF(U85=1,'Input data'!$C$57*(U90-T90*U43/((1+U24/100)*(1+U42/100))),0))</f>
        <v>0.34001638555384261</v>
      </c>
      <c r="V95" s="35">
        <f>IF(V90=0,0,IF(V85=1,'Input data'!$C$57*(V90-U90*V43/((1+V24/100)*(1+V42/100))),0))</f>
        <v>0.35844433186844454</v>
      </c>
      <c r="W95" s="35">
        <f>IF(W90=0,0,IF(W85=1,'Input data'!$C$57*(W90-V90*W43/((1+W24/100)*(1+W42/100))),0))</f>
        <v>0.37443378647874292</v>
      </c>
    </row>
    <row r="96" spans="2:23" x14ac:dyDescent="0.2">
      <c r="B96" s="15" t="s">
        <v>51</v>
      </c>
      <c r="C96" s="25"/>
      <c r="D96" s="186">
        <f>'Baseline NFPC'!$D$93</f>
        <v>7.9303654329715201E-2</v>
      </c>
      <c r="E96" s="25">
        <f t="shared" ref="E96:G96" si="42">IF(E90&lt;&gt;0,(E93+E95)/(E91+E92+E93+E94+E95),0)</f>
        <v>7.9304410856211358E-2</v>
      </c>
      <c r="F96" s="25">
        <f t="shared" si="42"/>
        <v>7.9466850304038841E-2</v>
      </c>
      <c r="G96" s="25">
        <f t="shared" si="42"/>
        <v>7.9642137252021544E-2</v>
      </c>
      <c r="H96" s="25">
        <f t="shared" ref="H96:W96" si="43">IF(H90&lt;&gt;0,(H93+H95)/(H91+H92+H93+H94+H95),0)</f>
        <v>7.9749126309030971E-2</v>
      </c>
      <c r="I96" s="25">
        <f t="shared" si="43"/>
        <v>7.9837595553015228E-2</v>
      </c>
      <c r="J96" s="25">
        <f t="shared" si="43"/>
        <v>7.9917167464638714E-2</v>
      </c>
      <c r="K96" s="25">
        <f t="shared" si="43"/>
        <v>8.0004158729257605E-2</v>
      </c>
      <c r="L96" s="25">
        <f t="shared" si="43"/>
        <v>8.0098068230944841E-2</v>
      </c>
      <c r="M96" s="25">
        <f t="shared" si="43"/>
        <v>8.0198313706433114E-2</v>
      </c>
      <c r="N96" s="25">
        <f t="shared" si="43"/>
        <v>8.0302977235941056E-2</v>
      </c>
      <c r="O96" s="25">
        <f t="shared" si="43"/>
        <v>8.0408903170705787E-2</v>
      </c>
      <c r="P96" s="25">
        <f t="shared" si="43"/>
        <v>8.0514588700833847E-2</v>
      </c>
      <c r="Q96" s="25">
        <f t="shared" si="43"/>
        <v>8.0618227674409265E-2</v>
      </c>
      <c r="R96" s="25">
        <f t="shared" si="43"/>
        <v>8.0719858246215456E-2</v>
      </c>
      <c r="S96" s="25">
        <f t="shared" si="43"/>
        <v>8.0819006518230069E-2</v>
      </c>
      <c r="T96" s="25">
        <f t="shared" si="43"/>
        <v>8.0914317481025649E-2</v>
      </c>
      <c r="U96" s="25">
        <f>IF(U90&lt;&gt;0,(U93+U95)/(U91+U92+U93+U94+U95),0)</f>
        <v>8.1005601697195506E-2</v>
      </c>
      <c r="V96" s="25">
        <f t="shared" si="43"/>
        <v>8.1092439898014734E-2</v>
      </c>
      <c r="W96" s="23">
        <f t="shared" si="43"/>
        <v>8.1174129701542627E-2</v>
      </c>
    </row>
    <row r="97" spans="2:25" x14ac:dyDescent="0.2">
      <c r="B97" s="24" t="s">
        <v>52</v>
      </c>
      <c r="C97" s="86"/>
      <c r="D97" s="187">
        <f>'Baseline NFPC'!$D$94</f>
        <v>0.9206963456702848</v>
      </c>
      <c r="E97" s="86">
        <f t="shared" ref="E97:G97" si="44">IF(E90&lt;&gt;0,(E91+E92+E94)/(E91+E92+E93+E94+E95),1)</f>
        <v>0.92069558914378868</v>
      </c>
      <c r="F97" s="86">
        <f t="shared" si="44"/>
        <v>0.92053314969596123</v>
      </c>
      <c r="G97" s="86">
        <f t="shared" si="44"/>
        <v>0.92035786274797848</v>
      </c>
      <c r="H97" s="86">
        <f t="shared" ref="H97:W97" si="45">IF(H90&lt;&gt;0,(H91+H92+H94)/(H91+H92+H93+H94+H95),1)</f>
        <v>0.92025087369096903</v>
      </c>
      <c r="I97" s="86">
        <f t="shared" si="45"/>
        <v>0.92016240444698472</v>
      </c>
      <c r="J97" s="86">
        <f t="shared" si="45"/>
        <v>0.92008283253536127</v>
      </c>
      <c r="K97" s="86">
        <f t="shared" si="45"/>
        <v>0.91999584127074241</v>
      </c>
      <c r="L97" s="86">
        <f t="shared" si="45"/>
        <v>0.91990193176905521</v>
      </c>
      <c r="M97" s="86">
        <f t="shared" si="45"/>
        <v>0.91980168629356684</v>
      </c>
      <c r="N97" s="86">
        <f t="shared" si="45"/>
        <v>0.91969702276405885</v>
      </c>
      <c r="O97" s="86">
        <f t="shared" si="45"/>
        <v>0.9195910968292943</v>
      </c>
      <c r="P97" s="86">
        <f t="shared" si="45"/>
        <v>0.91948541129916617</v>
      </c>
      <c r="Q97" s="86">
        <f t="shared" si="45"/>
        <v>0.91938177232559082</v>
      </c>
      <c r="R97" s="86">
        <f t="shared" si="45"/>
        <v>0.91928014175378459</v>
      </c>
      <c r="S97" s="86">
        <f t="shared" si="45"/>
        <v>0.91918099348176985</v>
      </c>
      <c r="T97" s="86">
        <f t="shared" si="45"/>
        <v>0.91908568251897427</v>
      </c>
      <c r="U97" s="86">
        <f t="shared" si="45"/>
        <v>0.91899439830280449</v>
      </c>
      <c r="V97" s="86">
        <f t="shared" si="45"/>
        <v>0.91890756010198515</v>
      </c>
      <c r="W97" s="35">
        <f t="shared" si="45"/>
        <v>0.91882587029845741</v>
      </c>
    </row>
    <row r="98" spans="2:25" x14ac:dyDescent="0.2">
      <c r="C98" s="27"/>
      <c r="D98" s="27"/>
      <c r="E98" s="27"/>
      <c r="F98" s="27"/>
      <c r="G98" s="27"/>
      <c r="H98" s="27"/>
      <c r="I98" s="27"/>
      <c r="J98" s="27"/>
      <c r="K98" s="27"/>
      <c r="L98" s="27"/>
      <c r="M98" s="27"/>
      <c r="N98" s="27"/>
      <c r="O98" s="27"/>
      <c r="P98" s="27"/>
      <c r="Q98" s="27"/>
      <c r="R98" s="27"/>
      <c r="S98" s="27"/>
      <c r="T98" s="27"/>
      <c r="U98" s="27"/>
      <c r="V98" s="27"/>
      <c r="W98" s="27"/>
    </row>
    <row r="99" spans="2:25" x14ac:dyDescent="0.2">
      <c r="B99" s="90" t="s">
        <v>104</v>
      </c>
      <c r="C99" s="92">
        <f>'Baseline NFPC'!C96</f>
        <v>1.082266</v>
      </c>
      <c r="D99" s="92">
        <f>'Baseline NFPC'!D96</f>
        <v>1.1515390000000001</v>
      </c>
      <c r="E99" s="92">
        <f>'Baseline NFPC'!E96</f>
        <v>1.3576170000000001</v>
      </c>
      <c r="F99" s="92">
        <f>'Baseline NFPC'!F96</f>
        <v>1.5744320000000001</v>
      </c>
      <c r="G99" s="92">
        <f>'Baseline NFPC'!G96</f>
        <v>1.603952</v>
      </c>
      <c r="H99" s="92">
        <f>H101</f>
        <v>1.7774600493041111</v>
      </c>
      <c r="I99" s="92">
        <f t="shared" ref="I99:V99" si="46">I101</f>
        <v>1.9068787269355749</v>
      </c>
      <c r="J99" s="92">
        <f t="shared" si="46"/>
        <v>2.0167109782312553</v>
      </c>
      <c r="K99" s="92">
        <f t="shared" si="46"/>
        <v>2.1127193249188929</v>
      </c>
      <c r="L99" s="92">
        <f t="shared" si="46"/>
        <v>2.2011495146745581</v>
      </c>
      <c r="M99" s="92">
        <f t="shared" si="46"/>
        <v>2.2822900452863868</v>
      </c>
      <c r="N99" s="92">
        <f t="shared" si="46"/>
        <v>2.3564645319633226</v>
      </c>
      <c r="O99" s="92">
        <f t="shared" si="46"/>
        <v>2.4237577777470087</v>
      </c>
      <c r="P99" s="92">
        <f t="shared" si="46"/>
        <v>2.4886298263802731</v>
      </c>
      <c r="Q99" s="92">
        <f t="shared" si="46"/>
        <v>2.5525490768930288</v>
      </c>
      <c r="R99" s="92">
        <f t="shared" si="46"/>
        <v>2.6153036664749534</v>
      </c>
      <c r="S99" s="92">
        <f t="shared" si="46"/>
        <v>2.677102448144105</v>
      </c>
      <c r="T99" s="92">
        <f t="shared" si="46"/>
        <v>2.7380119857658762</v>
      </c>
      <c r="U99" s="92">
        <f t="shared" si="46"/>
        <v>2.7978576362050043</v>
      </c>
      <c r="V99" s="92">
        <f t="shared" si="46"/>
        <v>2.8567430554401976</v>
      </c>
      <c r="W99" s="92">
        <f>W101</f>
        <v>2.9146838963784374</v>
      </c>
    </row>
    <row r="100" spans="2:25" x14ac:dyDescent="0.2">
      <c r="B100" s="22" t="s">
        <v>105</v>
      </c>
      <c r="C100" s="23"/>
      <c r="D100" s="23"/>
      <c r="E100" s="191">
        <f>((E36*D90)-(E38*(D93+D95)))/(D91+D92+D94)</f>
        <v>1.1791133837474903</v>
      </c>
      <c r="F100" s="191">
        <f>((F36*E90)-(F38*(E93+E95)))/(E91+E92+E94)</f>
        <v>1.4030420039182605</v>
      </c>
      <c r="G100" s="191">
        <f>((G36*F90)-(G38*(F93+F95)))/(F91+F92+F94)</f>
        <v>1.499287179316469</v>
      </c>
      <c r="H100" s="23">
        <f t="shared" ref="H100:W100" si="47">IF(G90&gt;0,(G100*G91+H37*(G94+G92))/(G91+G92+G94),H37)</f>
        <v>1.6885352961033169</v>
      </c>
      <c r="I100" s="23">
        <f t="shared" si="47"/>
        <v>1.8300176255629537</v>
      </c>
      <c r="J100" s="23">
        <f t="shared" si="47"/>
        <v>1.9502659670464342</v>
      </c>
      <c r="K100" s="23">
        <f t="shared" si="47"/>
        <v>2.055521748972811</v>
      </c>
      <c r="L100" s="23">
        <f t="shared" si="47"/>
        <v>2.1525556942381345</v>
      </c>
      <c r="M100" s="23">
        <f t="shared" si="47"/>
        <v>2.2416819855726073</v>
      </c>
      <c r="N100" s="23">
        <f t="shared" si="47"/>
        <v>2.3232525605255301</v>
      </c>
      <c r="O100" s="23">
        <f t="shared" si="47"/>
        <v>2.3973597608345396</v>
      </c>
      <c r="P100" s="23">
        <f t="shared" si="47"/>
        <v>2.4710408054142197</v>
      </c>
      <c r="Q100" s="23">
        <f t="shared" si="47"/>
        <v>2.5437109896587136</v>
      </c>
      <c r="R100" s="23">
        <f t="shared" si="47"/>
        <v>2.6151394425104768</v>
      </c>
      <c r="S100" s="23">
        <f t="shared" si="47"/>
        <v>2.6855522207219642</v>
      </c>
      <c r="T100" s="23">
        <f t="shared" si="47"/>
        <v>2.7550205958947784</v>
      </c>
      <c r="U100" s="23">
        <f t="shared" si="47"/>
        <v>2.8233529222054043</v>
      </c>
      <c r="V100" s="23">
        <f t="shared" si="47"/>
        <v>2.8906602419810352</v>
      </c>
      <c r="W100" s="23">
        <f t="shared" si="47"/>
        <v>2.9569576840455118</v>
      </c>
    </row>
    <row r="101" spans="2:25" x14ac:dyDescent="0.2">
      <c r="B101" s="24" t="s">
        <v>41</v>
      </c>
      <c r="C101" s="35"/>
      <c r="D101" s="35"/>
      <c r="E101" s="35">
        <f t="shared" ref="E101:W101" si="48">(E100*(D91+D92+D94)+E38*(D93+D95))/D90</f>
        <v>1.3576170000000003</v>
      </c>
      <c r="F101" s="35">
        <f t="shared" si="48"/>
        <v>1.5744320000000001</v>
      </c>
      <c r="G101" s="35">
        <f t="shared" si="48"/>
        <v>1.603952</v>
      </c>
      <c r="H101" s="35">
        <f t="shared" si="48"/>
        <v>1.7774600493041111</v>
      </c>
      <c r="I101" s="35">
        <f t="shared" si="48"/>
        <v>1.9068787269355749</v>
      </c>
      <c r="J101" s="35">
        <f t="shared" si="48"/>
        <v>2.0167109782312553</v>
      </c>
      <c r="K101" s="35">
        <f t="shared" si="48"/>
        <v>2.1127193249188929</v>
      </c>
      <c r="L101" s="35">
        <f t="shared" si="48"/>
        <v>2.2011495146745581</v>
      </c>
      <c r="M101" s="35">
        <f t="shared" si="48"/>
        <v>2.2822900452863868</v>
      </c>
      <c r="N101" s="35">
        <f t="shared" si="48"/>
        <v>2.3564645319633226</v>
      </c>
      <c r="O101" s="35">
        <f t="shared" si="48"/>
        <v>2.4237577777470087</v>
      </c>
      <c r="P101" s="35">
        <f t="shared" si="48"/>
        <v>2.4886298263802731</v>
      </c>
      <c r="Q101" s="35">
        <f t="shared" si="48"/>
        <v>2.5525490768930288</v>
      </c>
      <c r="R101" s="35">
        <f t="shared" si="48"/>
        <v>2.6153036664749534</v>
      </c>
      <c r="S101" s="35">
        <f t="shared" si="48"/>
        <v>2.677102448144105</v>
      </c>
      <c r="T101" s="35">
        <f t="shared" si="48"/>
        <v>2.7380119857658762</v>
      </c>
      <c r="U101" s="35">
        <f t="shared" si="48"/>
        <v>2.7978576362050043</v>
      </c>
      <c r="V101" s="35">
        <f t="shared" si="48"/>
        <v>2.8567430554401976</v>
      </c>
      <c r="W101" s="35">
        <f t="shared" si="48"/>
        <v>2.9146838963784374</v>
      </c>
    </row>
    <row r="102" spans="2:25" x14ac:dyDescent="0.2">
      <c r="C102" s="27"/>
      <c r="D102" s="27"/>
      <c r="E102" s="27"/>
      <c r="F102" s="27"/>
      <c r="G102" s="23"/>
      <c r="H102" s="23"/>
      <c r="I102" s="23"/>
      <c r="J102" s="23"/>
      <c r="K102" s="23"/>
      <c r="L102" s="23"/>
      <c r="M102" s="23"/>
      <c r="N102" s="23"/>
      <c r="O102" s="23"/>
      <c r="P102" s="23"/>
      <c r="Q102" s="23"/>
      <c r="R102" s="23"/>
      <c r="S102" s="23"/>
      <c r="T102" s="23"/>
      <c r="U102" s="23"/>
      <c r="V102" s="23"/>
      <c r="W102" s="23"/>
    </row>
    <row r="103" spans="2:25" x14ac:dyDescent="0.2">
      <c r="B103" s="90" t="s">
        <v>138</v>
      </c>
      <c r="C103" s="92">
        <f t="shared" ref="C103:W103" si="49">((1+C99/100)/((1+C24/100)*(1+C42/100))-1)*100</f>
        <v>-7.5163560887435477</v>
      </c>
      <c r="D103" s="92">
        <f t="shared" si="49"/>
        <v>-8.1307101305954088</v>
      </c>
      <c r="E103" s="92">
        <f t="shared" si="49"/>
        <v>-6.0462653924760907</v>
      </c>
      <c r="F103" s="92">
        <f t="shared" si="49"/>
        <v>-2.8137536280651743</v>
      </c>
      <c r="G103" s="92">
        <f t="shared" si="49"/>
        <v>-2.0585151918129818</v>
      </c>
      <c r="H103" s="92">
        <f t="shared" si="49"/>
        <v>-2.30992868554869</v>
      </c>
      <c r="I103" s="92">
        <f t="shared" si="49"/>
        <v>-2.0772804911834641</v>
      </c>
      <c r="J103" s="92">
        <f t="shared" si="49"/>
        <v>-1.6713958697149867</v>
      </c>
      <c r="K103" s="92">
        <f t="shared" si="49"/>
        <v>-1.3299915849090516</v>
      </c>
      <c r="L103" s="92">
        <f t="shared" si="49"/>
        <v>-1.2512240555303422</v>
      </c>
      <c r="M103" s="92">
        <f t="shared" si="49"/>
        <v>-1.1744259858582184</v>
      </c>
      <c r="N103" s="92">
        <f t="shared" si="49"/>
        <v>-1.1166287738785918</v>
      </c>
      <c r="O103" s="92">
        <f t="shared" si="49"/>
        <v>-1.0997251102576322</v>
      </c>
      <c r="P103" s="92">
        <f t="shared" si="49"/>
        <v>-1.0375139700422364</v>
      </c>
      <c r="Q103" s="92">
        <f t="shared" si="49"/>
        <v>-0.97620753449753073</v>
      </c>
      <c r="R103" s="92">
        <f t="shared" si="49"/>
        <v>-0.91601072804348149</v>
      </c>
      <c r="S103" s="92">
        <f t="shared" si="49"/>
        <v>-0.93731337628507605</v>
      </c>
      <c r="T103" s="92">
        <f t="shared" si="49"/>
        <v>-0.95563868519419337</v>
      </c>
      <c r="U103" s="92">
        <f t="shared" si="49"/>
        <v>-1.0295089293316129</v>
      </c>
      <c r="V103" s="92">
        <f t="shared" si="49"/>
        <v>-1.106829765093631</v>
      </c>
      <c r="W103" s="92">
        <f t="shared" si="49"/>
        <v>-1.0751568882955587</v>
      </c>
    </row>
    <row r="104" spans="2:25" x14ac:dyDescent="0.2">
      <c r="F104" s="23"/>
      <c r="G104" s="23"/>
      <c r="H104" s="23"/>
      <c r="I104" s="23"/>
      <c r="J104" s="23"/>
      <c r="K104" s="23"/>
      <c r="L104" s="23"/>
      <c r="M104" s="23"/>
      <c r="N104" s="23"/>
      <c r="O104" s="23"/>
      <c r="P104" s="23"/>
      <c r="Q104" s="23"/>
      <c r="R104" s="23"/>
      <c r="S104" s="23"/>
      <c r="T104" s="23"/>
      <c r="U104" s="23"/>
      <c r="V104" s="23"/>
      <c r="W104" s="23"/>
    </row>
    <row r="105" spans="2:25" x14ac:dyDescent="0.2">
      <c r="F105" s="23"/>
      <c r="G105" s="23"/>
      <c r="H105" s="180"/>
      <c r="I105" s="180"/>
      <c r="J105" s="180"/>
      <c r="K105" s="180"/>
      <c r="L105" s="180"/>
      <c r="M105" s="180"/>
      <c r="N105" s="180"/>
      <c r="O105" s="180"/>
      <c r="P105" s="180"/>
      <c r="Q105" s="180"/>
      <c r="R105" s="180"/>
      <c r="S105" s="180"/>
      <c r="T105" s="180"/>
      <c r="U105" s="23"/>
      <c r="V105" s="23"/>
      <c r="W105" s="23"/>
    </row>
    <row r="106" spans="2:25" x14ac:dyDescent="0.2">
      <c r="T106" s="47"/>
      <c r="U106" s="47"/>
      <c r="V106" s="47"/>
      <c r="W106" s="47"/>
      <c r="X106" s="47"/>
      <c r="Y106" s="47"/>
    </row>
    <row r="107" spans="2:25" x14ac:dyDescent="0.2">
      <c r="T107" s="47"/>
      <c r="U107" s="93"/>
      <c r="V107" s="93"/>
      <c r="W107" s="93"/>
      <c r="X107" s="93"/>
      <c r="Y107" s="47"/>
    </row>
    <row r="108" spans="2:25" x14ac:dyDescent="0.2">
      <c r="H108" s="98"/>
      <c r="I108" s="98"/>
      <c r="J108" s="98"/>
      <c r="K108" s="98"/>
      <c r="L108" s="98"/>
      <c r="M108" s="98"/>
      <c r="N108" s="98"/>
      <c r="O108" s="98"/>
      <c r="P108" s="98"/>
      <c r="Q108" s="98"/>
      <c r="R108" s="98"/>
      <c r="S108" s="98"/>
      <c r="T108" s="98"/>
      <c r="U108" s="98"/>
      <c r="V108" s="98"/>
      <c r="W108" s="98"/>
    </row>
    <row r="109" spans="2:25" x14ac:dyDescent="0.2">
      <c r="E109" s="23"/>
      <c r="F109" s="23"/>
      <c r="G109" s="98"/>
      <c r="H109" s="98"/>
      <c r="I109" s="98"/>
      <c r="J109" s="98"/>
      <c r="K109" s="98"/>
      <c r="L109" s="98"/>
      <c r="M109" s="98"/>
      <c r="N109" s="98"/>
      <c r="O109" s="98"/>
      <c r="P109" s="98"/>
      <c r="Q109" s="98"/>
      <c r="R109" s="98"/>
      <c r="S109" s="98"/>
      <c r="T109" s="98"/>
      <c r="U109" s="98"/>
      <c r="V109" s="98"/>
      <c r="W109" s="98"/>
    </row>
    <row r="110" spans="2:25" x14ac:dyDescent="0.2">
      <c r="E110" s="23"/>
      <c r="F110" s="23"/>
      <c r="G110" s="98"/>
      <c r="H110" s="98"/>
      <c r="I110" s="98"/>
      <c r="J110" s="98"/>
      <c r="K110" s="98"/>
      <c r="L110" s="98"/>
      <c r="M110" s="98"/>
      <c r="N110" s="98"/>
      <c r="O110" s="98"/>
      <c r="P110" s="98"/>
      <c r="Q110" s="98"/>
      <c r="R110" s="98"/>
      <c r="S110" s="98"/>
      <c r="T110" s="98"/>
      <c r="U110" s="98"/>
      <c r="V110" s="98"/>
      <c r="W110" s="98"/>
    </row>
    <row r="113" spans="5:24" x14ac:dyDescent="0.2">
      <c r="E113" s="23"/>
      <c r="F113" s="23"/>
      <c r="G113" s="98"/>
      <c r="H113" s="98"/>
      <c r="I113" s="98"/>
      <c r="J113" s="98"/>
      <c r="K113" s="98"/>
      <c r="L113" s="98"/>
      <c r="M113" s="98"/>
      <c r="N113" s="98"/>
      <c r="O113" s="98"/>
      <c r="P113" s="98"/>
      <c r="Q113" s="98"/>
      <c r="R113" s="98"/>
      <c r="S113" s="98"/>
      <c r="T113" s="98"/>
      <c r="U113" s="98"/>
      <c r="V113" s="98"/>
      <c r="W113" s="98"/>
    </row>
    <row r="114" spans="5:24" x14ac:dyDescent="0.2">
      <c r="E114" s="23"/>
      <c r="F114" s="23"/>
      <c r="G114" s="98"/>
      <c r="H114" s="98"/>
      <c r="I114" s="98"/>
      <c r="J114" s="98"/>
      <c r="K114" s="98"/>
      <c r="L114" s="98"/>
      <c r="M114" s="98"/>
      <c r="N114" s="98"/>
      <c r="O114" s="98"/>
      <c r="P114" s="98"/>
      <c r="Q114" s="98"/>
      <c r="R114" s="98"/>
      <c r="S114" s="98"/>
      <c r="T114" s="98"/>
      <c r="U114" s="98"/>
      <c r="V114" s="98"/>
      <c r="W114" s="98"/>
      <c r="X114" s="38"/>
    </row>
    <row r="115" spans="5:24" x14ac:dyDescent="0.2">
      <c r="G115" s="38"/>
      <c r="H115" s="38"/>
      <c r="I115" s="38"/>
      <c r="J115" s="38"/>
      <c r="K115" s="38"/>
      <c r="L115" s="38"/>
      <c r="M115" s="38"/>
      <c r="N115" s="38"/>
      <c r="O115" s="38"/>
      <c r="P115" s="38"/>
      <c r="Q115" s="38"/>
      <c r="R115" s="38"/>
      <c r="S115" s="38"/>
      <c r="T115" s="38"/>
      <c r="U115" s="38"/>
      <c r="V115" s="38"/>
      <c r="W115" s="38"/>
      <c r="X115" s="38"/>
    </row>
    <row r="116" spans="5:24" x14ac:dyDescent="0.2">
      <c r="E116" s="23"/>
      <c r="F116" s="23"/>
      <c r="G116" s="98"/>
      <c r="H116" s="98"/>
      <c r="I116" s="98"/>
      <c r="J116" s="98"/>
      <c r="K116" s="98"/>
      <c r="L116" s="98"/>
      <c r="M116" s="98"/>
      <c r="N116" s="98"/>
      <c r="O116" s="98"/>
      <c r="P116" s="98"/>
      <c r="Q116" s="98"/>
      <c r="R116" s="98"/>
      <c r="S116" s="98"/>
      <c r="T116" s="98"/>
      <c r="U116" s="98"/>
      <c r="V116" s="98"/>
      <c r="W116" s="98"/>
      <c r="X116" s="38"/>
    </row>
    <row r="117" spans="5:24" x14ac:dyDescent="0.2">
      <c r="E117" s="23"/>
      <c r="F117" s="23"/>
      <c r="G117" s="98"/>
      <c r="H117" s="98"/>
      <c r="I117" s="98"/>
      <c r="J117" s="98"/>
      <c r="K117" s="98"/>
      <c r="L117" s="98"/>
      <c r="M117" s="98"/>
      <c r="N117" s="98"/>
      <c r="O117" s="98"/>
      <c r="P117" s="98"/>
      <c r="Q117" s="98"/>
      <c r="R117" s="98"/>
      <c r="S117" s="98"/>
      <c r="T117" s="98"/>
      <c r="U117" s="98"/>
      <c r="V117" s="98"/>
      <c r="W117" s="98"/>
      <c r="X117" s="38"/>
    </row>
    <row r="118" spans="5:24" x14ac:dyDescent="0.2">
      <c r="G118" s="38"/>
      <c r="H118" s="38"/>
      <c r="I118" s="38"/>
      <c r="J118" s="38"/>
      <c r="K118" s="38"/>
      <c r="L118" s="38"/>
      <c r="M118" s="38"/>
      <c r="N118" s="38"/>
      <c r="O118" s="38"/>
      <c r="P118" s="38"/>
      <c r="Q118" s="38"/>
      <c r="R118" s="38"/>
      <c r="S118" s="38"/>
      <c r="T118" s="38"/>
      <c r="U118" s="38"/>
      <c r="V118" s="38"/>
      <c r="W118" s="38"/>
      <c r="X118" s="38"/>
    </row>
    <row r="119" spans="5:24" x14ac:dyDescent="0.2">
      <c r="E119" s="23"/>
      <c r="F119" s="23"/>
      <c r="G119" s="98"/>
      <c r="H119" s="98"/>
      <c r="I119" s="98"/>
      <c r="J119" s="98"/>
      <c r="K119" s="98"/>
      <c r="L119" s="98"/>
      <c r="M119" s="98"/>
      <c r="N119" s="98"/>
      <c r="O119" s="98"/>
      <c r="P119" s="98"/>
      <c r="Q119" s="98"/>
      <c r="R119" s="98"/>
      <c r="S119" s="98"/>
      <c r="T119" s="98"/>
      <c r="U119" s="98"/>
      <c r="V119" s="98"/>
      <c r="W119" s="98"/>
      <c r="X119" s="98"/>
    </row>
    <row r="120" spans="5:24" x14ac:dyDescent="0.2">
      <c r="E120" s="23"/>
      <c r="F120" s="23"/>
      <c r="G120" s="98"/>
      <c r="H120" s="98"/>
      <c r="I120" s="98"/>
      <c r="J120" s="98"/>
      <c r="K120" s="98"/>
      <c r="L120" s="98"/>
      <c r="M120" s="98"/>
      <c r="N120" s="98"/>
      <c r="O120" s="98"/>
      <c r="P120" s="98"/>
      <c r="Q120" s="98"/>
      <c r="R120" s="98"/>
      <c r="S120" s="98"/>
      <c r="T120" s="98"/>
      <c r="U120" s="98"/>
      <c r="V120" s="98"/>
      <c r="W120" s="98"/>
      <c r="X120" s="98"/>
    </row>
    <row r="121" spans="5:24" x14ac:dyDescent="0.2">
      <c r="G121" s="98"/>
      <c r="H121" s="98"/>
      <c r="I121" s="98"/>
      <c r="J121" s="98"/>
      <c r="K121" s="98"/>
      <c r="L121" s="98"/>
      <c r="M121" s="98"/>
      <c r="N121" s="98"/>
      <c r="O121" s="98"/>
      <c r="P121" s="98"/>
      <c r="Q121" s="98"/>
      <c r="R121" s="98"/>
      <c r="S121" s="98"/>
      <c r="T121" s="98"/>
      <c r="U121" s="98"/>
      <c r="V121" s="98"/>
      <c r="W121" s="98"/>
      <c r="X121" s="98"/>
    </row>
    <row r="122" spans="5:24" x14ac:dyDescent="0.2">
      <c r="E122" s="23"/>
      <c r="F122" s="23"/>
      <c r="G122" s="98"/>
      <c r="H122" s="98"/>
      <c r="I122" s="98"/>
      <c r="J122" s="98"/>
      <c r="K122" s="98"/>
      <c r="L122" s="98"/>
      <c r="M122" s="98"/>
      <c r="N122" s="98"/>
      <c r="O122" s="98"/>
      <c r="P122" s="98"/>
      <c r="Q122" s="98"/>
      <c r="R122" s="98"/>
      <c r="S122" s="98"/>
      <c r="T122" s="98"/>
      <c r="U122" s="98"/>
      <c r="V122" s="98"/>
      <c r="W122" s="98"/>
      <c r="X122" s="98"/>
    </row>
    <row r="123" spans="5:24" x14ac:dyDescent="0.2">
      <c r="E123" s="23"/>
      <c r="F123" s="23"/>
      <c r="G123" s="98"/>
      <c r="H123" s="98"/>
      <c r="I123" s="98"/>
      <c r="J123" s="98"/>
      <c r="K123" s="98"/>
      <c r="L123" s="98"/>
      <c r="M123" s="98"/>
      <c r="N123" s="98"/>
      <c r="O123" s="98"/>
      <c r="P123" s="98"/>
      <c r="Q123" s="98"/>
      <c r="R123" s="98"/>
      <c r="S123" s="98"/>
      <c r="T123" s="98"/>
      <c r="U123" s="98"/>
      <c r="V123" s="98"/>
      <c r="W123" s="98"/>
      <c r="X123" s="98"/>
    </row>
    <row r="124" spans="5:24" x14ac:dyDescent="0.2">
      <c r="G124" s="98"/>
      <c r="H124" s="98"/>
      <c r="I124" s="98"/>
      <c r="J124" s="98"/>
      <c r="K124" s="98"/>
      <c r="L124" s="98"/>
      <c r="M124" s="98"/>
      <c r="N124" s="98"/>
      <c r="O124" s="98"/>
      <c r="P124" s="98"/>
      <c r="Q124" s="98"/>
      <c r="R124" s="98"/>
      <c r="S124" s="98"/>
      <c r="T124" s="98"/>
      <c r="U124" s="98"/>
      <c r="V124" s="98"/>
      <c r="W124" s="98"/>
      <c r="X124" s="98"/>
    </row>
    <row r="125" spans="5:24" x14ac:dyDescent="0.2">
      <c r="G125" s="98"/>
      <c r="H125" s="98"/>
      <c r="I125" s="98"/>
      <c r="J125" s="98"/>
      <c r="K125" s="98"/>
      <c r="L125" s="98"/>
      <c r="M125" s="98"/>
      <c r="N125" s="98"/>
      <c r="O125" s="98"/>
      <c r="P125" s="98"/>
      <c r="Q125" s="98"/>
      <c r="R125" s="98"/>
      <c r="S125" s="98"/>
      <c r="T125" s="98"/>
      <c r="U125" s="98"/>
      <c r="V125" s="98"/>
      <c r="W125" s="98"/>
      <c r="X125" s="98"/>
    </row>
  </sheetData>
  <conditionalFormatting sqref="G12:M12">
    <cfRule type="expression" dxfId="6" priority="4">
      <formula>AND(G10&gt;$C$5,G10&lt;=$C$6)</formula>
    </cfRule>
  </conditionalFormatting>
  <conditionalFormatting sqref="U10:W44 U46:W53 U84:W140 U55:W82">
    <cfRule type="expression" dxfId="5" priority="1">
      <formula>U$10&gt;$C$7</formula>
    </cfRule>
  </conditionalFormatting>
  <pageMargins left="0.7" right="0.7" top="0.75" bottom="0.75" header="0.3" footer="0.3"/>
  <pageSetup paperSize="9" orientation="portrait" r:id="rId1"/>
  <ignoredErrors>
    <ignoredError sqref="C5 C47:C4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6BD62-F475-4E99-9E07-BEAA4AE832C8}">
  <sheetPr codeName="Sheet18">
    <tabColor rgb="FF92D050"/>
  </sheetPr>
  <dimension ref="A1:AY139"/>
  <sheetViews>
    <sheetView zoomScaleNormal="100" workbookViewId="0"/>
  </sheetViews>
  <sheetFormatPr defaultColWidth="9.28515625" defaultRowHeight="11.25" outlineLevelRow="1" x14ac:dyDescent="0.2"/>
  <cols>
    <col min="1" max="1" width="9.28515625" style="15" customWidth="1"/>
    <col min="2" max="2" width="57.42578125" style="15" customWidth="1"/>
    <col min="3" max="38" width="9.28515625" style="15" customWidth="1"/>
    <col min="39" max="48" width="11.42578125" style="15" bestFit="1" customWidth="1"/>
    <col min="49" max="16384" width="9.28515625" style="15"/>
  </cols>
  <sheetData>
    <row r="1" spans="1:51" ht="24.75" customHeight="1" x14ac:dyDescent="0.2">
      <c r="B1" s="28"/>
    </row>
    <row r="2" spans="1:51" ht="11.25" customHeight="1" x14ac:dyDescent="0.2">
      <c r="B2" s="16"/>
    </row>
    <row r="3" spans="1:51" ht="11.25" customHeight="1" x14ac:dyDescent="0.2">
      <c r="B3" s="8" t="s">
        <v>11</v>
      </c>
      <c r="C3" s="9" t="str">
        <f>'Input data'!C3</f>
        <v>NL</v>
      </c>
    </row>
    <row r="4" spans="1:51" x14ac:dyDescent="0.2">
      <c r="B4" s="49" t="s">
        <v>16</v>
      </c>
      <c r="C4" s="10"/>
    </row>
    <row r="5" spans="1:51" x14ac:dyDescent="0.2">
      <c r="A5" s="18"/>
      <c r="B5" s="11" t="str">
        <f>'Input data'!B5</f>
        <v>Last year before the adjustment</v>
      </c>
      <c r="C5" s="12">
        <f>+'Input data'!C5</f>
        <v>2024</v>
      </c>
      <c r="J5" s="38"/>
      <c r="M5" s="27"/>
    </row>
    <row r="6" spans="1:51" x14ac:dyDescent="0.2">
      <c r="A6" s="18"/>
      <c r="B6" s="50" t="s">
        <v>22</v>
      </c>
      <c r="C6" s="12">
        <f>+C5+'Criteria results'!$F$5</f>
        <v>2028</v>
      </c>
      <c r="E6" s="30"/>
      <c r="F6" s="18"/>
    </row>
    <row r="7" spans="1:51" x14ac:dyDescent="0.2">
      <c r="A7" s="18"/>
      <c r="B7" s="13" t="s">
        <v>17</v>
      </c>
      <c r="C7" s="51">
        <f>C5+'Criteria results'!$F$5+10</f>
        <v>2038</v>
      </c>
      <c r="E7" s="30"/>
      <c r="F7" s="18"/>
      <c r="G7" s="38"/>
      <c r="H7" s="38"/>
      <c r="I7" s="38"/>
      <c r="J7" s="38"/>
      <c r="K7" s="38"/>
      <c r="L7" s="38"/>
      <c r="M7" s="38"/>
    </row>
    <row r="8" spans="1:51" x14ac:dyDescent="0.2">
      <c r="A8" s="18"/>
      <c r="C8" s="18"/>
      <c r="E8" s="30"/>
      <c r="F8" s="18"/>
      <c r="G8" s="18"/>
      <c r="H8" s="18"/>
      <c r="I8" s="18"/>
      <c r="J8" s="18"/>
      <c r="K8" s="18"/>
      <c r="L8" s="18"/>
      <c r="M8" s="18"/>
      <c r="N8" s="18"/>
      <c r="O8" s="18"/>
      <c r="P8" s="18"/>
      <c r="Q8" s="18"/>
      <c r="R8" s="18"/>
      <c r="S8" s="18"/>
      <c r="T8" s="18"/>
      <c r="U8" s="18"/>
      <c r="V8" s="18"/>
      <c r="W8" s="18"/>
    </row>
    <row r="9" spans="1:51" s="52" customFormat="1" ht="12.75" x14ac:dyDescent="0.2">
      <c r="B9" s="14" t="s">
        <v>23</v>
      </c>
    </row>
    <row r="10" spans="1:51" x14ac:dyDescent="0.2">
      <c r="C10" s="20">
        <v>2021</v>
      </c>
      <c r="D10" s="20">
        <v>2022</v>
      </c>
      <c r="E10" s="20">
        <v>2023</v>
      </c>
      <c r="F10" s="20">
        <v>2024</v>
      </c>
      <c r="G10" s="20">
        <v>2025</v>
      </c>
      <c r="H10" s="20">
        <v>2026</v>
      </c>
      <c r="I10" s="20">
        <v>2027</v>
      </c>
      <c r="J10" s="20">
        <v>2028</v>
      </c>
      <c r="K10" s="20">
        <v>2029</v>
      </c>
      <c r="L10" s="20">
        <v>2030</v>
      </c>
      <c r="M10" s="20">
        <v>2031</v>
      </c>
      <c r="N10" s="20">
        <v>2032</v>
      </c>
      <c r="O10" s="20">
        <v>2033</v>
      </c>
      <c r="P10" s="20">
        <v>2034</v>
      </c>
      <c r="Q10" s="20">
        <v>2035</v>
      </c>
      <c r="R10" s="20">
        <v>2036</v>
      </c>
      <c r="S10" s="20">
        <v>2037</v>
      </c>
      <c r="T10" s="20">
        <v>2038</v>
      </c>
      <c r="U10" s="20">
        <v>2039</v>
      </c>
      <c r="V10" s="20">
        <v>2040</v>
      </c>
      <c r="W10" s="20">
        <v>2041</v>
      </c>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row>
    <row r="11" spans="1:51" x14ac:dyDescent="0.2">
      <c r="B11" s="17" t="s">
        <v>24</v>
      </c>
      <c r="C11" s="18"/>
      <c r="D11" s="18"/>
      <c r="E11" s="18"/>
      <c r="F11" s="188"/>
      <c r="G11" s="188"/>
      <c r="H11" s="188"/>
      <c r="I11" s="188"/>
      <c r="J11" s="188"/>
      <c r="K11" s="188"/>
      <c r="L11" s="188"/>
      <c r="M11" s="188"/>
      <c r="N11" s="188"/>
      <c r="O11" s="188"/>
      <c r="P11" s="188"/>
      <c r="Q11" s="188"/>
      <c r="R11" s="188"/>
      <c r="S11" s="188"/>
      <c r="T11" s="188"/>
      <c r="U11" s="188"/>
      <c r="V11" s="188"/>
      <c r="W11" s="18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row>
    <row r="12" spans="1:51" x14ac:dyDescent="0.2">
      <c r="B12" s="15" t="s">
        <v>26</v>
      </c>
      <c r="C12" s="1">
        <f>'Input data'!C13</f>
        <v>-1.3850450000000001</v>
      </c>
      <c r="D12" s="2">
        <f>'Input data'!D13</f>
        <v>-0.58009900000000003</v>
      </c>
      <c r="E12" s="2">
        <f>'Input data'!E13</f>
        <v>-0.18470490000000001</v>
      </c>
      <c r="F12" s="2">
        <f>'Input data'!F13</f>
        <v>-0.64168910000000001</v>
      </c>
      <c r="G12" s="3">
        <f>IF(G10&lt;=$C$6,F12+'Criteria results'!$F$7,F12)</f>
        <v>-0.64168910000000001</v>
      </c>
      <c r="H12" s="3">
        <f>IF(H10&lt;=$C$6,G12+'Criteria results'!$F$7,G12)</f>
        <v>-0.64168910000000001</v>
      </c>
      <c r="I12" s="3">
        <f>IF(I10&lt;=$C$6,H12+'Criteria results'!$F$7,H12)</f>
        <v>-0.64168910000000001</v>
      </c>
      <c r="J12" s="3">
        <f>IF(J10&lt;=$C$6,I12+'Criteria results'!$F$7,I12)</f>
        <v>-0.64168910000000001</v>
      </c>
      <c r="K12" s="96">
        <f>IF(K10&lt;=$C$6,J12+'Criteria results'!$F$7,J12)</f>
        <v>-0.64168910000000001</v>
      </c>
      <c r="L12" s="96">
        <f>IF(L10&lt;=$C$6,K12+'Criteria results'!$F$7,K12)</f>
        <v>-0.64168910000000001</v>
      </c>
      <c r="M12" s="96">
        <f>IF(M10&lt;=$C$6,L12+'Criteria results'!$F$7,L12)</f>
        <v>-0.64168910000000001</v>
      </c>
      <c r="N12" s="96">
        <f>M12</f>
        <v>-0.64168910000000001</v>
      </c>
      <c r="O12" s="96">
        <f t="shared" ref="O12:W12" si="0">N12</f>
        <v>-0.64168910000000001</v>
      </c>
      <c r="P12" s="96">
        <f t="shared" si="0"/>
        <v>-0.64168910000000001</v>
      </c>
      <c r="Q12" s="96">
        <f t="shared" si="0"/>
        <v>-0.64168910000000001</v>
      </c>
      <c r="R12" s="96">
        <f t="shared" si="0"/>
        <v>-0.64168910000000001</v>
      </c>
      <c r="S12" s="96">
        <f t="shared" si="0"/>
        <v>-0.64168910000000001</v>
      </c>
      <c r="T12" s="96">
        <f t="shared" si="0"/>
        <v>-0.64168910000000001</v>
      </c>
      <c r="U12" s="96">
        <f t="shared" si="0"/>
        <v>-0.64168910000000001</v>
      </c>
      <c r="V12" s="96">
        <f t="shared" si="0"/>
        <v>-0.64168910000000001</v>
      </c>
      <c r="W12" s="96">
        <f t="shared" si="0"/>
        <v>-0.64168910000000001</v>
      </c>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5"/>
    </row>
    <row r="13" spans="1:51" x14ac:dyDescent="0.2">
      <c r="B13" s="273" t="s">
        <v>142</v>
      </c>
      <c r="C13" s="18"/>
      <c r="D13" s="18"/>
      <c r="E13" s="18"/>
      <c r="F13" s="188"/>
      <c r="G13" s="188">
        <f>G12-F12</f>
        <v>0</v>
      </c>
      <c r="H13" s="188">
        <f t="shared" ref="H13:W13" si="1">H12-G12</f>
        <v>0</v>
      </c>
      <c r="I13" s="188">
        <f t="shared" si="1"/>
        <v>0</v>
      </c>
      <c r="J13" s="188">
        <f t="shared" si="1"/>
        <v>0</v>
      </c>
      <c r="K13" s="188">
        <f t="shared" si="1"/>
        <v>0</v>
      </c>
      <c r="L13" s="188">
        <f t="shared" si="1"/>
        <v>0</v>
      </c>
      <c r="M13" s="188">
        <f t="shared" si="1"/>
        <v>0</v>
      </c>
      <c r="N13" s="188">
        <f t="shared" si="1"/>
        <v>0</v>
      </c>
      <c r="O13" s="188">
        <f t="shared" si="1"/>
        <v>0</v>
      </c>
      <c r="P13" s="188">
        <f t="shared" si="1"/>
        <v>0</v>
      </c>
      <c r="Q13" s="188">
        <f t="shared" si="1"/>
        <v>0</v>
      </c>
      <c r="R13" s="188">
        <f t="shared" si="1"/>
        <v>0</v>
      </c>
      <c r="S13" s="188">
        <f t="shared" si="1"/>
        <v>0</v>
      </c>
      <c r="T13" s="188">
        <f t="shared" si="1"/>
        <v>0</v>
      </c>
      <c r="U13" s="188">
        <f t="shared" si="1"/>
        <v>0</v>
      </c>
      <c r="V13" s="188">
        <f t="shared" si="1"/>
        <v>0</v>
      </c>
      <c r="W13" s="188">
        <f t="shared" si="1"/>
        <v>0</v>
      </c>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row>
    <row r="14" spans="1:51" x14ac:dyDescent="0.2">
      <c r="B14" s="15" t="s">
        <v>27</v>
      </c>
      <c r="C14" s="1">
        <f>'Input data'!C14</f>
        <v>-0.1033785</v>
      </c>
      <c r="D14" s="2">
        <f>'Input data'!D14</f>
        <v>-0.1877838</v>
      </c>
      <c r="E14" s="2">
        <f>'Input data'!E14</f>
        <v>0.48351880000000003</v>
      </c>
      <c r="F14" s="2">
        <f>'Input data'!F14</f>
        <v>0</v>
      </c>
      <c r="G14" s="2">
        <f>'Input data'!G14</f>
        <v>0</v>
      </c>
      <c r="H14" s="2">
        <f>0</f>
        <v>0</v>
      </c>
      <c r="I14" s="2">
        <f>0</f>
        <v>0</v>
      </c>
      <c r="J14" s="2">
        <f>0</f>
        <v>0</v>
      </c>
      <c r="K14" s="2">
        <f>0</f>
        <v>0</v>
      </c>
      <c r="L14" s="2">
        <f>0</f>
        <v>0</v>
      </c>
      <c r="M14" s="2">
        <f>0</f>
        <v>0</v>
      </c>
      <c r="N14" s="2">
        <f>0</f>
        <v>0</v>
      </c>
      <c r="O14" s="2">
        <f>0</f>
        <v>0</v>
      </c>
      <c r="P14" s="2">
        <f>0</f>
        <v>0</v>
      </c>
      <c r="Q14" s="2">
        <f>0</f>
        <v>0</v>
      </c>
      <c r="R14" s="2">
        <f>0</f>
        <v>0</v>
      </c>
      <c r="S14" s="2">
        <f>0</f>
        <v>0</v>
      </c>
      <c r="T14" s="2">
        <f>0</f>
        <v>0</v>
      </c>
      <c r="U14" s="2">
        <f>0</f>
        <v>0</v>
      </c>
      <c r="V14" s="2">
        <f>0</f>
        <v>0</v>
      </c>
      <c r="W14" s="2">
        <f>0</f>
        <v>0</v>
      </c>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5"/>
    </row>
    <row r="15" spans="1:51" x14ac:dyDescent="0.2">
      <c r="B15" s="15" t="s">
        <v>59</v>
      </c>
      <c r="C15" s="1">
        <f>'Input data'!C15</f>
        <v>-0.60671679999999995</v>
      </c>
      <c r="D15" s="2">
        <f>'Input data'!D15</f>
        <v>3.1287919999999998</v>
      </c>
      <c r="E15" s="2">
        <f>'Input data'!E15</f>
        <v>-0.33130710000000002</v>
      </c>
      <c r="F15" s="2">
        <f>'Input data'!F15</f>
        <v>0.6</v>
      </c>
      <c r="G15" s="2">
        <f>'Input data'!G15</f>
        <v>0.9</v>
      </c>
      <c r="H15" s="2">
        <f>'Input data'!H15</f>
        <v>0</v>
      </c>
      <c r="I15" s="2">
        <f>'Input data'!I15</f>
        <v>0</v>
      </c>
      <c r="J15" s="2">
        <f>'Input data'!J15</f>
        <v>0</v>
      </c>
      <c r="K15" s="2">
        <f>'Input data'!K15</f>
        <v>0</v>
      </c>
      <c r="L15" s="2">
        <f>'Input data'!L15</f>
        <v>0</v>
      </c>
      <c r="M15" s="2">
        <f>'Input data'!M15</f>
        <v>0</v>
      </c>
      <c r="N15" s="2">
        <f>'Input data'!N15</f>
        <v>0</v>
      </c>
      <c r="O15" s="2">
        <f>'Input data'!O15</f>
        <v>0</v>
      </c>
      <c r="P15" s="2">
        <f>'Input data'!P15</f>
        <v>0</v>
      </c>
      <c r="Q15" s="2">
        <f>'Input data'!Q15</f>
        <v>0</v>
      </c>
      <c r="R15" s="2">
        <f>'Input data'!R15</f>
        <v>0</v>
      </c>
      <c r="S15" s="2">
        <f>'Input data'!S15</f>
        <v>0</v>
      </c>
      <c r="T15" s="2">
        <f>'Input data'!T15</f>
        <v>0</v>
      </c>
      <c r="U15" s="2">
        <f>'Input data'!U15</f>
        <v>0</v>
      </c>
      <c r="V15" s="2">
        <f>'Input data'!V15</f>
        <v>0</v>
      </c>
      <c r="W15" s="2">
        <f>'Input data'!W15</f>
        <v>0</v>
      </c>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5"/>
    </row>
    <row r="16" spans="1:51" ht="5.65" customHeight="1" x14ac:dyDescent="0.2">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ht="11.25" customHeight="1" x14ac:dyDescent="0.2">
      <c r="B17" s="19" t="str">
        <f>'Input data'!B19</f>
        <v>Cost of ageing and selected public revenue (based on the Commission-Council 2024 Ageing Report ("AR 2024"))</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row>
    <row r="18" spans="1:50" x14ac:dyDescent="0.2">
      <c r="A18" s="46"/>
      <c r="B18" s="15" t="s">
        <v>30</v>
      </c>
      <c r="C18" s="1">
        <f>'Input data'!C20</f>
        <v>0</v>
      </c>
      <c r="D18" s="79">
        <f>'Input data'!D20</f>
        <v>18.197429999999997</v>
      </c>
      <c r="E18" s="79">
        <f>'Input data'!E20</f>
        <v>18.057920000000003</v>
      </c>
      <c r="F18" s="79">
        <f>'Input data'!F20</f>
        <v>18.079909999999998</v>
      </c>
      <c r="G18" s="79">
        <f>'Input data'!G20</f>
        <v>18.066780000000001</v>
      </c>
      <c r="H18" s="79">
        <f>'Input data'!H20</f>
        <v>18.131349999999998</v>
      </c>
      <c r="I18" s="79">
        <f>'Input data'!I20</f>
        <v>18.327549999999995</v>
      </c>
      <c r="J18" s="79">
        <f>'Input data'!J20</f>
        <v>18.389009999999999</v>
      </c>
      <c r="K18" s="79">
        <f>'Input data'!K20</f>
        <v>18.522680000000001</v>
      </c>
      <c r="L18" s="79">
        <f>'Input data'!L20</f>
        <v>18.676760000000002</v>
      </c>
      <c r="M18" s="79">
        <f>'Input data'!M20</f>
        <v>18.855719999999998</v>
      </c>
      <c r="N18" s="79">
        <f>'Input data'!N20</f>
        <v>19.032749999999997</v>
      </c>
      <c r="O18" s="79">
        <f>'Input data'!O20</f>
        <v>19.171200000000002</v>
      </c>
      <c r="P18" s="79">
        <f>'Input data'!P20</f>
        <v>19.30218</v>
      </c>
      <c r="Q18" s="79">
        <f>'Input data'!Q20</f>
        <v>19.407900000000001</v>
      </c>
      <c r="R18" s="79">
        <f>'Input data'!R20</f>
        <v>19.539800000000003</v>
      </c>
      <c r="S18" s="79">
        <f>'Input data'!S20</f>
        <v>19.68159</v>
      </c>
      <c r="T18" s="79">
        <f>'Input data'!T20</f>
        <v>19.792939999999998</v>
      </c>
      <c r="U18" s="79">
        <f>'Input data'!U20</f>
        <v>19.908730000000002</v>
      </c>
      <c r="V18" s="79">
        <f>'Input data'!V20</f>
        <v>20.013470000000002</v>
      </c>
      <c r="W18" s="79">
        <f>'Input data'!W20</f>
        <v>20.083189999999998</v>
      </c>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19" spans="1:50" x14ac:dyDescent="0.2">
      <c r="A19" s="46"/>
      <c r="B19" s="15" t="s">
        <v>36</v>
      </c>
      <c r="C19" s="1">
        <f>'Input data'!C26</f>
        <v>0.84586609999999995</v>
      </c>
      <c r="D19" s="79">
        <f>'Input data'!D26</f>
        <v>1.490273</v>
      </c>
      <c r="E19" s="79">
        <f>'Input data'!E26</f>
        <v>1.4554469999999999</v>
      </c>
      <c r="F19" s="79">
        <f>'Input data'!F26</f>
        <v>1.4206209999999999</v>
      </c>
      <c r="G19" s="79">
        <f>'Input data'!G26</f>
        <v>1.3857950000000001</v>
      </c>
      <c r="H19" s="79">
        <f>'Input data'!H26</f>
        <v>1.3509679999999999</v>
      </c>
      <c r="I19" s="79">
        <f>'Input data'!I26</f>
        <v>1.3161419999999999</v>
      </c>
      <c r="J19" s="79">
        <f>'Input data'!J26</f>
        <v>1.2813159999999999</v>
      </c>
      <c r="K19" s="79">
        <f>'Input data'!K26</f>
        <v>1.246489</v>
      </c>
      <c r="L19" s="79">
        <f>'Input data'!L26</f>
        <v>1.2116629999999999</v>
      </c>
      <c r="M19" s="79">
        <f>'Input data'!M26</f>
        <v>1.1768369999999999</v>
      </c>
      <c r="N19" s="79">
        <f>'Input data'!N26</f>
        <v>1.1420110000000001</v>
      </c>
      <c r="O19" s="79">
        <f>'Input data'!O26</f>
        <v>1.1071839999999999</v>
      </c>
      <c r="P19" s="79">
        <f>'Input data'!P26</f>
        <v>1.0723579999999999</v>
      </c>
      <c r="Q19" s="79">
        <f>'Input data'!Q26</f>
        <v>1.0375319999999999</v>
      </c>
      <c r="R19" s="79">
        <f>'Input data'!R26</f>
        <v>1.002705</v>
      </c>
      <c r="S19" s="79">
        <f>'Input data'!S26</f>
        <v>0.96787920000000005</v>
      </c>
      <c r="T19" s="79">
        <f>'Input data'!T26</f>
        <v>0.93305300000000002</v>
      </c>
      <c r="U19" s="79">
        <f>'Input data'!U26</f>
        <v>0.89822679999999999</v>
      </c>
      <c r="V19" s="79">
        <f>'Input data'!V26</f>
        <v>0.86340059999999996</v>
      </c>
      <c r="W19" s="79">
        <f>'Input data'!W26</f>
        <v>0.82857429999999999</v>
      </c>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row>
    <row r="21" spans="1:50" x14ac:dyDescent="0.2">
      <c r="B21" s="17" t="s">
        <v>60</v>
      </c>
    </row>
    <row r="22" spans="1:50" ht="10.5" customHeight="1" x14ac:dyDescent="0.2">
      <c r="B22" s="19" t="s">
        <v>61</v>
      </c>
    </row>
    <row r="23" spans="1:50" x14ac:dyDescent="0.2">
      <c r="B23" s="15" t="s">
        <v>39</v>
      </c>
      <c r="C23" s="23">
        <f>'Input data'!C31</f>
        <v>772.95439999999996</v>
      </c>
      <c r="D23" s="78">
        <f>'Baseline NFPC'!D22</f>
        <v>806.41496215339191</v>
      </c>
      <c r="E23" s="78">
        <f>'Baseline NFPC'!E22</f>
        <v>807.19736207797234</v>
      </c>
      <c r="F23" s="78">
        <f>'Baseline NFPC'!F22</f>
        <v>813.33542319958065</v>
      </c>
      <c r="G23" s="23">
        <f>IF(AND(G50&gt;1,F50&gt;1),IF(AND(G50&gt;0,F50&gt;0),G27*(G51/100+1),0)+IF(G50&gt;0,F23*(1+G52/100),0)-F23*(1+'Input data'!G30/100),IF(G50=1,G27,F23*(1+G52/100)))</f>
        <v>825.1665987997992</v>
      </c>
      <c r="H23" s="23">
        <f>IF(AND(H50&gt;1,G50&gt;1),IF(AND(H50&gt;0,G50&gt;0),H27*(H51/100+1),0)+IF(H50&gt;0,G23*(1+H52/100),0)-G23*(1+'Input data'!H30/100),IF(H50=1,H27,G23*(1+H52/100)))</f>
        <v>840.45157229266727</v>
      </c>
      <c r="I23" s="23">
        <f>IF(AND(I50&gt;1,H50&gt;1),IF(AND(I50&gt;0,H50&gt;0),I27*(I51/100+1),0)+IF(I50&gt;0,H23*(1+I52/100),0)-H23*(1+'Input data'!I30/100),IF(I50=1,I27,H23*(1+I52/100)))</f>
        <v>854.76059649157889</v>
      </c>
      <c r="J23" s="23">
        <f>IF(AND(J50&gt;1,I50&gt;1),IF(AND(J50&gt;0,I50&gt;0),J27*(J51/100+1),0)+IF(J50&gt;0,I23*(1+J52/100),0)-I23*(1+'Input data'!J30/100),IF(J50=1,J27,I23*(1+J52/100)))</f>
        <v>866.34256838361591</v>
      </c>
      <c r="K23" s="23">
        <f>IF(AND(K50&gt;1,J50&gt;1),IF(AND(K50&gt;0,J50&gt;0),K27*(K51/100+1),0)+IF(K50&gt;0,J23*(1+K52/100),0)-J23*(1+'Input data'!K30/100),IF(K50=1,K27,J23*(1+K52/100)))</f>
        <v>875.54819456387497</v>
      </c>
      <c r="L23" s="23">
        <f>IF(AND(L50&gt;1,K50&gt;1),IF(AND(L50&gt;0,K50&gt;0),L27*(L51/100+1),0)+IF(L50&gt;0,K23*(1+L52/100),0)-K23*(1+'Input data'!L30/100),IF(L50=1,L27,K23*(1+L52/100)))</f>
        <v>884.58976188208737</v>
      </c>
      <c r="M23" s="23">
        <f>IF(AND(M50&gt;1,L50&gt;1),IF(AND(M50&gt;0,L50&gt;0),M27*(M51/100+1),0)+IF(M50&gt;0,L23*(1+M52/100),0)-L23*(1+'Input data'!M30/100),IF(M50=1,M27,L23*(1+M52/100)))</f>
        <v>893.41434619518543</v>
      </c>
      <c r="N23" s="23">
        <f>IF(AND(N50&gt;1,M50&gt;1),IF(AND(N50&gt;0,M50&gt;0),N27*(N51/100+1),0)+IF(N50&gt;0,M23*(1+N52/100),0)-M23*(1+'Input data'!N30/100),IF(N50=1,N27,M23*(1+N52/100)))</f>
        <v>902.1256497838375</v>
      </c>
      <c r="O23" s="23">
        <f>IF(AND(O50&gt;1,N50&gt;1),IF(AND(O50&gt;0,N50&gt;0),O27*(O51/100+1),0)+IF(O50&gt;0,N23*(1+O52/100),0)-N23*(1+'Input data'!O30/100),IF(O50=1,O27,N23*(1+O52/100)))</f>
        <v>911.03397458433335</v>
      </c>
      <c r="P23" s="23">
        <f>IF(AND(P50&gt;1,O50&gt;1),IF(AND(P50&gt;0,O50&gt;0),P27*(P51/100+1),0)+IF(P50&gt;0,O23*(1+P52/100),0)-O23*(1+'Input data'!P30/100),IF(P50=1,P27,O23*(1+P52/100)))</f>
        <v>920.28104230908241</v>
      </c>
      <c r="Q23" s="23">
        <f>IF(AND(Q50&gt;1,P50&gt;1),IF(AND(Q50&gt;0,P50&gt;0),Q27*(Q51/100+1),0)+IF(Q50&gt;0,P23*(1+Q52/100),0)-P23*(1+'Input data'!Q30/100),IF(Q50=1,Q27,P23*(1+Q52/100)))</f>
        <v>929.87527586789849</v>
      </c>
      <c r="R23" s="23">
        <f>IF(AND(R50&gt;1,Q50&gt;1),IF(AND(R50&gt;0,Q50&gt;0),R27*(R51/100+1),0)+IF(R50&gt;0,Q23*(1+R52/100),0)-Q23*(1+'Input data'!R30/100),IF(R50=1,R27,Q23*(1+R52/100)))</f>
        <v>939.82547134859226</v>
      </c>
      <c r="S23" s="23">
        <f>IF(AND(S50&gt;1,R50&gt;1),IF(AND(S50&gt;0,R50&gt;0),S27*(S51/100+1),0)+IF(S50&gt;0,R23*(1+S52/100),0)-R23*(1+'Input data'!S30/100),IF(S50=1,S27,R23*(1+S52/100)))</f>
        <v>950.91378601244014</v>
      </c>
      <c r="T23" s="23">
        <f>IF(AND(T50&gt;1,S50&gt;1),IF(AND(T50&gt;0,S50&gt;0),T27*(T51/100+1),0)+IF(T50&gt;0,S23*(1+T52/100),0)-S23*(1+'Input data'!T30/100),IF(T50=1,T27,S23*(1+T52/100)))</f>
        <v>963.14035019885239</v>
      </c>
      <c r="U23" s="23">
        <f>IF(AND(U50&gt;1,T50&gt;1),IF(AND(U50&gt;0,T50&gt;0),U27*(U51/100+1),0)+IF(U50&gt;0,T23*(1+U52/100),0)-T23*(1+'Input data'!U30/100),IF(U50=1,U27,T23*(1+U52/100)))</f>
        <v>977.08328037271667</v>
      </c>
      <c r="V23" s="23">
        <f>IF(AND(V50&gt;1,U50&gt;1),IF(AND(V50&gt;0,U50&gt;0),V27*(V51/100+1),0)+IF(V50&gt;0,U23*(1+V52/100),0)-U23*(1+'Input data'!V30/100),IF(V50=1,V27,U23*(1+V52/100)))</f>
        <v>992.83797637293526</v>
      </c>
      <c r="W23" s="23">
        <f>IF(AND(W50&gt;1,V50&gt;1),IF(AND(W50&gt;0,V50&gt;0),W27*(W51/100+1),0)+IF(W50&gt;0,V23*(1+W52/100),0)-V23*(1+'Input data'!W30/100),IF(W50=1,W27,V23*(1+W52/100)))</f>
        <v>1009.363000004421</v>
      </c>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row>
    <row r="24" spans="1:50" x14ac:dyDescent="0.2">
      <c r="A24" s="46"/>
      <c r="B24" s="47" t="s">
        <v>38</v>
      </c>
      <c r="C24" s="23">
        <f>+'Input data'!C30</f>
        <v>6.1918569999999997</v>
      </c>
      <c r="D24" s="78">
        <f>'Baseline NFPC'!D23</f>
        <v>4.3289179999999998</v>
      </c>
      <c r="E24" s="78">
        <f>'Baseline NFPC'!E23</f>
        <v>9.7021999999999997E-2</v>
      </c>
      <c r="F24" s="78">
        <f>'Baseline NFPC'!F23</f>
        <v>0.76041639999999999</v>
      </c>
      <c r="G24" s="23">
        <f t="shared" ref="G24:S24" si="2">100*(G23/F23-1)</f>
        <v>1.4546490000000079</v>
      </c>
      <c r="H24" s="23">
        <f t="shared" si="2"/>
        <v>1.8523499999999915</v>
      </c>
      <c r="I24" s="23">
        <f t="shared" si="2"/>
        <v>1.7025400000000079</v>
      </c>
      <c r="J24" s="23">
        <f t="shared" si="2"/>
        <v>1.3549959999999972</v>
      </c>
      <c r="K24" s="23">
        <f t="shared" si="2"/>
        <v>1.0625850000000048</v>
      </c>
      <c r="L24" s="23">
        <f t="shared" si="2"/>
        <v>1.032674999999994</v>
      </c>
      <c r="M24" s="23">
        <f t="shared" si="2"/>
        <v>0.99759059999999788</v>
      </c>
      <c r="N24" s="23">
        <f t="shared" si="2"/>
        <v>0.97505749999999836</v>
      </c>
      <c r="O24" s="23">
        <f t="shared" si="2"/>
        <v>0.9874815999999953</v>
      </c>
      <c r="P24" s="23">
        <f t="shared" si="2"/>
        <v>1.0150080000000061</v>
      </c>
      <c r="Q24" s="23">
        <f t="shared" si="2"/>
        <v>1.0425329999999899</v>
      </c>
      <c r="R24" s="23">
        <f t="shared" si="2"/>
        <v>1.070057000000002</v>
      </c>
      <c r="S24" s="23">
        <f t="shared" si="2"/>
        <v>1.1798269999999889</v>
      </c>
      <c r="T24" s="23">
        <f>100*(T23/S23-1)</f>
        <v>1.2857700000000083</v>
      </c>
      <c r="U24" s="23">
        <f t="shared" ref="U24:W24" si="3">100*(U23/T23-1)</f>
        <v>1.4476530000000043</v>
      </c>
      <c r="V24" s="23">
        <f t="shared" si="3"/>
        <v>1.6124210000000083</v>
      </c>
      <c r="W24" s="23">
        <f t="shared" si="3"/>
        <v>1.6644230000000038</v>
      </c>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row>
    <row r="25" spans="1:50" ht="5.25" customHeight="1" x14ac:dyDescent="0.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row>
    <row r="26" spans="1:50" ht="15" x14ac:dyDescent="0.2">
      <c r="A26" s="159"/>
      <c r="B26" s="19" t="s">
        <v>62</v>
      </c>
      <c r="C26" s="158"/>
      <c r="D26" s="158"/>
      <c r="E26" s="158"/>
      <c r="F26" s="158"/>
    </row>
    <row r="27" spans="1:50" x14ac:dyDescent="0.2">
      <c r="B27" s="15" t="s">
        <v>39</v>
      </c>
      <c r="C27" s="23">
        <f>'Input data'!C34</f>
        <v>775.59760000000006</v>
      </c>
      <c r="D27" s="78">
        <f>+C27*(1+'Input data'!D33/100)</f>
        <v>790.54666204180012</v>
      </c>
      <c r="E27" s="78">
        <f>+D27*(1+'Input data'!E33/100)</f>
        <v>807.34577070472176</v>
      </c>
      <c r="F27" s="78">
        <f>+E27*(1+'Input data'!F33/100)</f>
        <v>822.09655115099417</v>
      </c>
      <c r="G27" s="23">
        <f>+F27*(1+'Input data'!G33/100)</f>
        <v>835.78242814917689</v>
      </c>
      <c r="H27" s="23">
        <f>+G27*(1+'Input data'!H33/100)</f>
        <v>847.62915095655899</v>
      </c>
      <c r="I27" s="23">
        <f>+H27*(1+'Input data'!I33/100)</f>
        <v>857.18014299033098</v>
      </c>
      <c r="J27" s="23">
        <f>+I27*(1+'Input data'!J33/100)</f>
        <v>866.34269583118032</v>
      </c>
      <c r="K27" s="23">
        <f>+J27*(1+'Input data'!K33/100)</f>
        <v>875.54833202910504</v>
      </c>
      <c r="L27" s="23">
        <f>+K27*(1+'Input data'!L33/100)</f>
        <v>884.58988325591997</v>
      </c>
      <c r="M27" s="23">
        <f>+L27*(1+'Input data'!M33/100)</f>
        <v>893.41445108803441</v>
      </c>
      <c r="N27" s="23">
        <f>+M27*(1+'Input data'!N33/100)</f>
        <v>902.1257271101897</v>
      </c>
      <c r="O27" s="23">
        <f>+N27*(1+'Input data'!O33/100)</f>
        <v>911.03404365301174</v>
      </c>
      <c r="P27" s="23">
        <f>+O27*(1+'Input data'!P33/100)</f>
        <v>920.28109385813241</v>
      </c>
      <c r="Q27" s="23">
        <f>+P27*(1+'Input data'!Q33/100)</f>
        <v>929.87531875155344</v>
      </c>
      <c r="R27" s="23">
        <f>+Q27*(1+'Input data'!R33/100)</f>
        <v>939.82552398987991</v>
      </c>
      <c r="S27" s="23">
        <f>+R27*(1+'Input data'!S33/100)</f>
        <v>950.9138674695696</v>
      </c>
      <c r="T27" s="23">
        <f>+S27*(1+'Input data'!T33/100)</f>
        <v>963.14041368505571</v>
      </c>
      <c r="U27" s="23">
        <f>+T27*(1+'Input data'!U33/100)</f>
        <v>977.08334477797985</v>
      </c>
      <c r="V27" s="23">
        <f>+U27*(1+'Input data'!V33/100)</f>
        <v>992.83804181668245</v>
      </c>
      <c r="W27" s="23">
        <f>+V27*(1+'Input data'!W33/100)</f>
        <v>1009.3630566090486</v>
      </c>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row>
    <row r="28" spans="1:50" ht="5.25" customHeight="1" x14ac:dyDescent="0.2">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row>
    <row r="29" spans="1:50" x14ac:dyDescent="0.2">
      <c r="B29" s="19" t="s">
        <v>63</v>
      </c>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row>
    <row r="30" spans="1:50" x14ac:dyDescent="0.2">
      <c r="B30" s="15" t="s">
        <v>63</v>
      </c>
      <c r="C30" s="23">
        <f>100*(C23/C27-1)</f>
        <v>-0.34079527837632684</v>
      </c>
      <c r="D30" s="78">
        <f t="shared" ref="D30:W30" si="4">100*(D23/D27-1)</f>
        <v>2.0072566078019438</v>
      </c>
      <c r="E30" s="78">
        <f t="shared" si="4"/>
        <v>-1.8382288250529122E-2</v>
      </c>
      <c r="F30" s="78">
        <f t="shared" si="4"/>
        <v>-1.0657054745147998</v>
      </c>
      <c r="G30" s="23">
        <f t="shared" si="4"/>
        <v>-1.270166611768353</v>
      </c>
      <c r="H30" s="23">
        <f t="shared" si="4"/>
        <v>-0.84678289506581184</v>
      </c>
      <c r="I30" s="23">
        <f t="shared" si="4"/>
        <v>-0.28226814614619178</v>
      </c>
      <c r="J30" s="23">
        <f t="shared" si="4"/>
        <v>-1.471098735050802E-5</v>
      </c>
      <c r="K30" s="23">
        <f t="shared" si="4"/>
        <v>-1.5700473066093679E-5</v>
      </c>
      <c r="L30" s="23">
        <f t="shared" si="4"/>
        <v>-1.3720915748027807E-5</v>
      </c>
      <c r="M30" s="23">
        <f>100*(M23/M27-1)</f>
        <v>-1.1740670735616021E-5</v>
      </c>
      <c r="N30" s="23">
        <f t="shared" si="4"/>
        <v>-8.5715715525402913E-6</v>
      </c>
      <c r="O30" s="23">
        <f t="shared" si="4"/>
        <v>-7.5813498812138391E-6</v>
      </c>
      <c r="P30" s="23">
        <f t="shared" si="4"/>
        <v>-5.6014461624620537E-6</v>
      </c>
      <c r="Q30" s="23">
        <f t="shared" si="4"/>
        <v>-4.6117639707077274E-6</v>
      </c>
      <c r="R30" s="23">
        <f t="shared" si="4"/>
        <v>-5.6011766336183655E-6</v>
      </c>
      <c r="S30" s="23">
        <f t="shared" si="4"/>
        <v>-8.5661942983428219E-6</v>
      </c>
      <c r="T30" s="23">
        <f t="shared" si="4"/>
        <v>-6.5915833680207925E-6</v>
      </c>
      <c r="U30" s="23">
        <f t="shared" si="4"/>
        <v>-6.5915833569185622E-6</v>
      </c>
      <c r="V30" s="23">
        <f t="shared" si="4"/>
        <v>-6.5915833680207925E-6</v>
      </c>
      <c r="W30" s="23">
        <f t="shared" si="4"/>
        <v>-5.6079551558063656E-6</v>
      </c>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row>
    <row r="31" spans="1:50" ht="4.9000000000000004" customHeight="1" x14ac:dyDescent="0.2">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row>
    <row r="32" spans="1:50" x14ac:dyDescent="0.2">
      <c r="B32" s="19" t="s">
        <v>64</v>
      </c>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row>
    <row r="33" spans="2:51" x14ac:dyDescent="0.2">
      <c r="B33" s="15" t="s">
        <v>38</v>
      </c>
      <c r="C33" s="1">
        <f t="shared" ref="C33:W33" si="5">100*((1+C24/100)*(1+C42/100)-1)</f>
        <v>9.2974516629064077</v>
      </c>
      <c r="D33" s="2">
        <f t="shared" si="5"/>
        <v>10.103756264787123</v>
      </c>
      <c r="E33" s="2">
        <f t="shared" si="5"/>
        <v>7.8803492201822367</v>
      </c>
      <c r="F33" s="2">
        <f>100*((1+F24/100)*(1+F42/100)-1)</f>
        <v>4.5152331650627264</v>
      </c>
      <c r="G33" s="1">
        <f>100*((1+G24/100)*(1+G42/100)-1)</f>
        <v>3.7394442191536426</v>
      </c>
      <c r="H33" s="1">
        <f t="shared" si="5"/>
        <v>4.1840370058652487</v>
      </c>
      <c r="I33" s="1">
        <f t="shared" si="5"/>
        <v>4.0686770527858185</v>
      </c>
      <c r="J33" s="1">
        <f t="shared" si="5"/>
        <v>3.7507975228241008</v>
      </c>
      <c r="K33" s="1">
        <f t="shared" si="5"/>
        <v>3.4891158571153102</v>
      </c>
      <c r="L33" s="1">
        <f t="shared" si="5"/>
        <v>3.4961178375986224</v>
      </c>
      <c r="M33" s="1">
        <f t="shared" si="5"/>
        <v>3.4977950450861606</v>
      </c>
      <c r="N33" s="1">
        <f t="shared" si="5"/>
        <v>3.5123128012088278</v>
      </c>
      <c r="O33" s="1">
        <f t="shared" si="5"/>
        <v>3.562662380800008</v>
      </c>
      <c r="P33" s="1">
        <f t="shared" si="5"/>
        <v>3.5631115768000043</v>
      </c>
      <c r="Q33" s="1">
        <f t="shared" si="5"/>
        <v>3.5635441983499883</v>
      </c>
      <c r="R33" s="1">
        <f t="shared" si="5"/>
        <v>3.5639606564749959</v>
      </c>
      <c r="S33" s="1">
        <f t="shared" si="5"/>
        <v>3.6486147787999856</v>
      </c>
      <c r="T33" s="1">
        <f t="shared" si="5"/>
        <v>3.7292892012499967</v>
      </c>
      <c r="U33" s="1">
        <f>100*((1+U24/100)*(1+U42/100)-1)</f>
        <v>3.8671795240500018</v>
      </c>
      <c r="V33" s="1">
        <f t="shared" si="5"/>
        <v>4.0079338250750052</v>
      </c>
      <c r="W33" s="1">
        <f t="shared" si="5"/>
        <v>4.0332040559000193</v>
      </c>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row>
    <row r="35" spans="2:51" x14ac:dyDescent="0.2">
      <c r="B35" s="17" t="s">
        <v>113</v>
      </c>
    </row>
    <row r="36" spans="2:51" x14ac:dyDescent="0.2">
      <c r="B36" s="15" t="s">
        <v>41</v>
      </c>
      <c r="C36" s="23">
        <f>'Input data'!C37</f>
        <v>1.082266</v>
      </c>
      <c r="D36" s="78">
        <f>'Input data'!D37</f>
        <v>1.1515390000000001</v>
      </c>
      <c r="E36" s="78">
        <f>'Input data'!E37</f>
        <v>1.3576170000000001</v>
      </c>
      <c r="F36" s="78">
        <f>'Input data'!F37</f>
        <v>1.5744320000000001</v>
      </c>
      <c r="G36" s="78">
        <f>'Input data'!G37</f>
        <v>1.603952</v>
      </c>
      <c r="H36" s="23">
        <f t="shared" ref="H36:W36" si="6">H101</f>
        <v>1.7774600493041111</v>
      </c>
      <c r="I36" s="23">
        <f t="shared" si="6"/>
        <v>1.9068787269355749</v>
      </c>
      <c r="J36" s="23">
        <f t="shared" si="6"/>
        <v>2.0167109782312553</v>
      </c>
      <c r="K36" s="23">
        <f t="shared" si="6"/>
        <v>2.1127193249188929</v>
      </c>
      <c r="L36" s="23">
        <f t="shared" si="6"/>
        <v>2.2011495146745581</v>
      </c>
      <c r="M36" s="23">
        <f t="shared" si="6"/>
        <v>2.2822900452863868</v>
      </c>
      <c r="N36" s="23">
        <f t="shared" si="6"/>
        <v>2.3564645319633226</v>
      </c>
      <c r="O36" s="23">
        <f t="shared" si="6"/>
        <v>2.4237577777470087</v>
      </c>
      <c r="P36" s="23">
        <f t="shared" si="6"/>
        <v>2.4886298263802731</v>
      </c>
      <c r="Q36" s="23">
        <f t="shared" si="6"/>
        <v>2.5525490768930288</v>
      </c>
      <c r="R36" s="23">
        <f t="shared" si="6"/>
        <v>2.6153036664749534</v>
      </c>
      <c r="S36" s="23">
        <f t="shared" si="6"/>
        <v>2.677102448144105</v>
      </c>
      <c r="T36" s="23">
        <f t="shared" si="6"/>
        <v>2.7380119857658762</v>
      </c>
      <c r="U36" s="23">
        <f t="shared" si="6"/>
        <v>2.7978576362050043</v>
      </c>
      <c r="V36" s="23">
        <f t="shared" si="6"/>
        <v>2.8567430554401976</v>
      </c>
      <c r="W36" s="23">
        <f t="shared" si="6"/>
        <v>2.9146838963784374</v>
      </c>
    </row>
    <row r="37" spans="2:51" x14ac:dyDescent="0.2">
      <c r="B37" s="21" t="s">
        <v>66</v>
      </c>
      <c r="C37" s="1"/>
      <c r="D37" s="2">
        <f>'Input data'!D$39</f>
        <v>1.38</v>
      </c>
      <c r="E37" s="2">
        <f>'Input data'!E$39</f>
        <v>2.79</v>
      </c>
      <c r="F37" s="138">
        <f>'Input data'!F$39</f>
        <v>2.7206269999999999</v>
      </c>
      <c r="G37" s="138">
        <f>'Input data'!G$39</f>
        <v>2.7825880000000001</v>
      </c>
      <c r="H37" s="1">
        <f>G37+($O$37-$G$37)/($O$10-$G$10)</f>
        <v>2.7910632500000001</v>
      </c>
      <c r="I37" s="1">
        <f t="shared" ref="I37:N37" si="7">H37+($O$37-$G$37)/($O$10-$G$10)</f>
        <v>2.7995385000000002</v>
      </c>
      <c r="J37" s="1">
        <f t="shared" si="7"/>
        <v>2.8080137500000002</v>
      </c>
      <c r="K37" s="1">
        <f t="shared" si="7"/>
        <v>2.8164890000000002</v>
      </c>
      <c r="L37" s="1">
        <f t="shared" si="7"/>
        <v>2.8249642500000003</v>
      </c>
      <c r="M37" s="1">
        <f t="shared" si="7"/>
        <v>2.8334395000000003</v>
      </c>
      <c r="N37" s="1">
        <f t="shared" si="7"/>
        <v>2.8419147500000004</v>
      </c>
      <c r="O37" s="179">
        <f>'Input data'!$C$52</f>
        <v>2.85039</v>
      </c>
      <c r="P37" s="1">
        <f>'Baseline NFPC'!P36</f>
        <v>2.9078705</v>
      </c>
      <c r="Q37" s="1">
        <f>'Baseline NFPC'!Q36</f>
        <v>2.9653510000000001</v>
      </c>
      <c r="R37" s="1">
        <f>'Baseline NFPC'!R36</f>
        <v>3.0228315000000001</v>
      </c>
      <c r="S37" s="1">
        <f>'Baseline NFPC'!S36</f>
        <v>3.0803120000000002</v>
      </c>
      <c r="T37" s="1">
        <f>'Baseline NFPC'!T36</f>
        <v>3.1377924999999998</v>
      </c>
      <c r="U37" s="1">
        <f>'Baseline NFPC'!U36</f>
        <v>3.1952730000000003</v>
      </c>
      <c r="V37" s="1">
        <f>'Baseline NFPC'!V36</f>
        <v>3.2527534999999999</v>
      </c>
      <c r="W37" s="1">
        <f>'Baseline NFPC'!W36</f>
        <v>3.3102339999999999</v>
      </c>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5"/>
    </row>
    <row r="38" spans="2:51" x14ac:dyDescent="0.2">
      <c r="B38" s="21" t="s">
        <v>67</v>
      </c>
      <c r="C38" s="1"/>
      <c r="D38" s="2">
        <f>'Input data'!D$38</f>
        <v>0.35</v>
      </c>
      <c r="E38" s="2">
        <f>'Input data'!E$38</f>
        <v>3.43</v>
      </c>
      <c r="F38" s="138">
        <f>'Input data'!F$38</f>
        <v>3.5642079999999998</v>
      </c>
      <c r="G38" s="138">
        <f>'Input data'!G$38</f>
        <v>2.8163749999999999</v>
      </c>
      <c r="H38" s="1">
        <f>G38+($O$38-$G$38)/($O$10-$G$10)</f>
        <v>2.8050893749999997</v>
      </c>
      <c r="I38" s="1">
        <f t="shared" ref="I38:N38" si="8">H38+($O$38-$G$38)/($O$10-$G$10)</f>
        <v>2.7938037499999995</v>
      </c>
      <c r="J38" s="1">
        <f t="shared" si="8"/>
        <v>2.7825181249999993</v>
      </c>
      <c r="K38" s="1">
        <f t="shared" si="8"/>
        <v>2.7712324999999991</v>
      </c>
      <c r="L38" s="1">
        <f t="shared" si="8"/>
        <v>2.7599468749999989</v>
      </c>
      <c r="M38" s="1">
        <f t="shared" si="8"/>
        <v>2.7486612499999987</v>
      </c>
      <c r="N38" s="1">
        <f t="shared" si="8"/>
        <v>2.7373756249999985</v>
      </c>
      <c r="O38" s="179">
        <f>'Input data'!$C$53</f>
        <v>2.7260900000000001</v>
      </c>
      <c r="P38" s="1">
        <f>'Baseline NFPC'!P37</f>
        <v>2.6897855000000002</v>
      </c>
      <c r="Q38" s="1">
        <f>'Baseline NFPC'!Q37</f>
        <v>2.6534810000000002</v>
      </c>
      <c r="R38" s="1">
        <f>'Baseline NFPC'!R37</f>
        <v>2.6171765000000002</v>
      </c>
      <c r="S38" s="1">
        <f>'Baseline NFPC'!S37</f>
        <v>2.5808720000000003</v>
      </c>
      <c r="T38" s="1">
        <f>'Baseline NFPC'!T37</f>
        <v>2.5445675000000003</v>
      </c>
      <c r="U38" s="1">
        <f>'Baseline NFPC'!U37</f>
        <v>2.5082629999999999</v>
      </c>
      <c r="V38" s="1">
        <f>'Baseline NFPC'!V37</f>
        <v>2.4719584999999999</v>
      </c>
      <c r="W38" s="1">
        <f>'Baseline NFPC'!W37</f>
        <v>2.435654</v>
      </c>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5"/>
    </row>
    <row r="39" spans="2:51" s="4" customFormat="1" ht="12.75" x14ac:dyDescent="0.2">
      <c r="B39" s="15" t="s">
        <v>68</v>
      </c>
      <c r="C39" s="23">
        <f>'Baseline NFPC'!C38</f>
        <v>0.10247115</v>
      </c>
      <c r="D39" s="23">
        <f>'Baseline NFPC'!D38</f>
        <v>8.9394059999999997E-2</v>
      </c>
      <c r="E39" s="23">
        <f>'Baseline NFPC'!E38</f>
        <v>8.9314669999999999E-2</v>
      </c>
      <c r="F39" s="23">
        <f>'Baseline NFPC'!F38</f>
        <v>8.8780289999999998E-2</v>
      </c>
      <c r="G39" s="23">
        <f>'Baseline NFPC'!G38</f>
        <v>8.9522768888888882E-2</v>
      </c>
      <c r="H39" s="23">
        <f>'Baseline NFPC'!H38</f>
        <v>9.026524777777778E-2</v>
      </c>
      <c r="I39" s="23">
        <f>'Baseline NFPC'!I38</f>
        <v>9.1007726666666663E-2</v>
      </c>
      <c r="J39" s="23">
        <f>'Baseline NFPC'!J38</f>
        <v>9.1750205555555547E-2</v>
      </c>
      <c r="K39" s="23">
        <f>'Baseline NFPC'!K38</f>
        <v>9.2492684444444445E-2</v>
      </c>
      <c r="L39" s="23">
        <f>'Baseline NFPC'!L38</f>
        <v>9.3235163333333329E-2</v>
      </c>
      <c r="M39" s="23">
        <f>'Baseline NFPC'!M38</f>
        <v>9.3977642222222213E-2</v>
      </c>
      <c r="N39" s="23">
        <f>'Baseline NFPC'!N38</f>
        <v>9.4720121111111111E-2</v>
      </c>
      <c r="O39" s="23">
        <f>'Baseline NFPC'!O38</f>
        <v>9.5462599999999995E-2</v>
      </c>
      <c r="P39" s="23">
        <f>'Baseline NFPC'!P38</f>
        <v>9.5462599999999995E-2</v>
      </c>
      <c r="Q39" s="23">
        <f>'Baseline NFPC'!Q38</f>
        <v>9.5462599999999995E-2</v>
      </c>
      <c r="R39" s="23">
        <f>'Baseline NFPC'!R38</f>
        <v>9.5462599999999995E-2</v>
      </c>
      <c r="S39" s="23">
        <f>'Baseline NFPC'!S38</f>
        <v>9.5462599999999995E-2</v>
      </c>
      <c r="T39" s="23">
        <f>'Baseline NFPC'!T38</f>
        <v>9.5462599999999995E-2</v>
      </c>
      <c r="U39" s="23">
        <f>'Baseline NFPC'!U38</f>
        <v>9.5462599999999995E-2</v>
      </c>
      <c r="V39" s="23">
        <f>'Baseline NFPC'!V38</f>
        <v>9.5462599999999995E-2</v>
      </c>
      <c r="W39" s="23">
        <f>'Baseline NFPC'!W38</f>
        <v>9.5462599999999995E-2</v>
      </c>
    </row>
    <row r="40" spans="2:51" x14ac:dyDescent="0.2">
      <c r="C40" s="1"/>
      <c r="D40" s="1"/>
      <c r="E40" s="82"/>
      <c r="F40" s="82"/>
      <c r="G40" s="82"/>
      <c r="H40" s="82"/>
      <c r="I40" s="82"/>
      <c r="J40" s="82"/>
      <c r="K40" s="82"/>
      <c r="L40" s="82"/>
      <c r="M40" s="82"/>
      <c r="N40" s="82"/>
      <c r="O40" s="1"/>
      <c r="P40" s="1"/>
      <c r="Q40" s="1"/>
      <c r="R40" s="1"/>
      <c r="S40" s="1"/>
      <c r="T40" s="1"/>
      <c r="U40" s="1"/>
      <c r="V40" s="1"/>
      <c r="W40" s="1"/>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5"/>
    </row>
    <row r="41" spans="2:51" x14ac:dyDescent="0.2">
      <c r="B41" s="17" t="s">
        <v>69</v>
      </c>
      <c r="C41" s="1"/>
      <c r="D41" s="1"/>
      <c r="E41" s="1"/>
      <c r="F41" s="1"/>
      <c r="G41" s="1"/>
      <c r="H41" s="1"/>
      <c r="I41" s="1"/>
      <c r="J41" s="1"/>
      <c r="K41" s="1"/>
      <c r="L41" s="1"/>
      <c r="M41" s="1"/>
      <c r="N41" s="1"/>
      <c r="O41" s="1"/>
      <c r="P41" s="1"/>
      <c r="Q41" s="1"/>
      <c r="R41" s="1"/>
      <c r="S41" s="1"/>
      <c r="T41" s="1"/>
      <c r="U41" s="1"/>
      <c r="V41" s="1"/>
      <c r="W41" s="1"/>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5"/>
    </row>
    <row r="42" spans="2:51" x14ac:dyDescent="0.2">
      <c r="B42" s="15" t="s">
        <v>114</v>
      </c>
      <c r="C42" s="1">
        <f>'Input data'!C42</f>
        <v>2.9245130000000001</v>
      </c>
      <c r="D42" s="2">
        <f>'Input data'!D42</f>
        <v>5.5352230000000002</v>
      </c>
      <c r="E42" s="2">
        <f>'Input data'!E42</f>
        <v>7.7757829999999997</v>
      </c>
      <c r="F42" s="2">
        <f>'Input data'!F42</f>
        <v>3.72648</v>
      </c>
      <c r="G42" s="2">
        <f>'Input data'!G42</f>
        <v>2.2520359999999999</v>
      </c>
      <c r="H42" s="1">
        <f>'Baseline NFPC'!H41</f>
        <v>2.2892815</v>
      </c>
      <c r="I42" s="1">
        <f>'Baseline NFPC'!I41</f>
        <v>2.326527</v>
      </c>
      <c r="J42" s="1">
        <f>'Baseline NFPC'!J41</f>
        <v>2.3637725000000001</v>
      </c>
      <c r="K42" s="1">
        <f>'Baseline NFPC'!K41</f>
        <v>2.4010179999999997</v>
      </c>
      <c r="L42" s="1">
        <f>'Baseline NFPC'!L41</f>
        <v>2.4382634999999997</v>
      </c>
      <c r="M42" s="1">
        <f>'Baseline NFPC'!M41</f>
        <v>2.4755089999999997</v>
      </c>
      <c r="N42" s="1">
        <f>'Baseline NFPC'!N41</f>
        <v>2.5127544999999998</v>
      </c>
      <c r="O42" s="179">
        <f>'Baseline NFPC'!O41</f>
        <v>2.5499999999999998</v>
      </c>
      <c r="P42" s="1">
        <f>'Baseline NFPC'!P41</f>
        <v>2.5225</v>
      </c>
      <c r="Q42" s="1">
        <f>'Baseline NFPC'!Q41</f>
        <v>2.4949999999999997</v>
      </c>
      <c r="R42" s="1">
        <f>'Baseline NFPC'!R41</f>
        <v>2.4674999999999998</v>
      </c>
      <c r="S42" s="1">
        <f>'Baseline NFPC'!S41</f>
        <v>2.44</v>
      </c>
      <c r="T42" s="1">
        <f>'Baseline NFPC'!T41</f>
        <v>2.4124999999999996</v>
      </c>
      <c r="U42" s="1">
        <f>'Baseline NFPC'!U41</f>
        <v>2.3849999999999998</v>
      </c>
      <c r="V42" s="1">
        <f>'Baseline NFPC'!V41</f>
        <v>2.3574999999999999</v>
      </c>
      <c r="W42" s="1">
        <f>'Baseline NFPC'!W41</f>
        <v>2.33</v>
      </c>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5"/>
    </row>
    <row r="43" spans="2:51" x14ac:dyDescent="0.2">
      <c r="B43" s="15" t="s">
        <v>70</v>
      </c>
      <c r="C43" s="1">
        <f>'Baseline NFPC'!C42</f>
        <v>1</v>
      </c>
      <c r="D43" s="1">
        <f>'Baseline NFPC'!D42</f>
        <v>1</v>
      </c>
      <c r="E43" s="1">
        <f>'Baseline NFPC'!E42</f>
        <v>1</v>
      </c>
      <c r="F43" s="1">
        <f>'Baseline NFPC'!F42</f>
        <v>1</v>
      </c>
      <c r="G43" s="1">
        <f>'Baseline NFPC'!G42</f>
        <v>0.99999990000000005</v>
      </c>
      <c r="H43" s="1">
        <f>'Baseline NFPC'!H42</f>
        <v>1</v>
      </c>
      <c r="I43" s="1">
        <f>'Baseline NFPC'!I42</f>
        <v>1</v>
      </c>
      <c r="J43" s="1">
        <f>'Baseline NFPC'!J42</f>
        <v>1</v>
      </c>
      <c r="K43" s="1">
        <f>'Baseline NFPC'!K42</f>
        <v>1</v>
      </c>
      <c r="L43" s="1">
        <f>'Baseline NFPC'!L42</f>
        <v>1</v>
      </c>
      <c r="M43" s="1">
        <f>'Baseline NFPC'!M42</f>
        <v>1</v>
      </c>
      <c r="N43" s="1">
        <f>'Baseline NFPC'!N42</f>
        <v>1</v>
      </c>
      <c r="O43" s="1">
        <f>'Baseline NFPC'!O42</f>
        <v>1</v>
      </c>
      <c r="P43" s="1">
        <f>'Baseline NFPC'!P42</f>
        <v>1</v>
      </c>
      <c r="Q43" s="1">
        <f>'Baseline NFPC'!Q42</f>
        <v>1</v>
      </c>
      <c r="R43" s="1">
        <f>'Baseline NFPC'!R42</f>
        <v>1</v>
      </c>
      <c r="S43" s="1">
        <f>'Baseline NFPC'!S42</f>
        <v>1</v>
      </c>
      <c r="T43" s="1">
        <f>'Baseline NFPC'!T42</f>
        <v>1</v>
      </c>
      <c r="U43" s="1">
        <f>'Baseline NFPC'!U42</f>
        <v>1</v>
      </c>
      <c r="V43" s="1">
        <f>'Baseline NFPC'!V42</f>
        <v>1</v>
      </c>
      <c r="W43" s="1">
        <f>'Baseline NFPC'!W42</f>
        <v>1</v>
      </c>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5"/>
    </row>
    <row r="44" spans="2:51" x14ac:dyDescent="0.2">
      <c r="C44" s="1"/>
      <c r="D44" s="1"/>
      <c r="E44" s="1"/>
      <c r="F44" s="1"/>
      <c r="G44" s="1"/>
      <c r="H44" s="1"/>
      <c r="I44" s="1"/>
      <c r="J44" s="1"/>
      <c r="K44" s="1"/>
      <c r="L44" s="1"/>
      <c r="M44" s="1"/>
      <c r="N44" s="1"/>
      <c r="O44" s="1"/>
      <c r="P44" s="1"/>
      <c r="Q44" s="1"/>
      <c r="R44" s="1"/>
      <c r="S44" s="1"/>
      <c r="T44" s="1"/>
      <c r="U44" s="1"/>
      <c r="V44" s="1"/>
      <c r="W44" s="1"/>
    </row>
    <row r="45" spans="2:51" s="52" customFormat="1" ht="12.75" x14ac:dyDescent="0.2">
      <c r="B45" s="60" t="s">
        <v>71</v>
      </c>
      <c r="C45" s="53"/>
    </row>
    <row r="46" spans="2:51" x14ac:dyDescent="0.2">
      <c r="C46" s="25"/>
    </row>
    <row r="47" spans="2:51" x14ac:dyDescent="0.2">
      <c r="B47" s="39" t="s">
        <v>46</v>
      </c>
      <c r="C47" s="40">
        <f>'Input data'!C49</f>
        <v>0.75</v>
      </c>
    </row>
    <row r="48" spans="2:51" x14ac:dyDescent="0.2">
      <c r="B48" s="41" t="s">
        <v>193</v>
      </c>
      <c r="C48" s="42">
        <f>'Input data'!C50</f>
        <v>0.60499999999999998</v>
      </c>
    </row>
    <row r="49" spans="2:48" x14ac:dyDescent="0.2">
      <c r="C49" s="43"/>
    </row>
    <row r="50" spans="2:48" outlineLevel="1" x14ac:dyDescent="0.2">
      <c r="B50" s="15" t="s">
        <v>72</v>
      </c>
      <c r="C50" s="23">
        <v>0</v>
      </c>
      <c r="D50" s="23">
        <f>IF(AND(ABS((D12-C12)-('Input data'!D13-'Input data'!C13))&gt;0.0001,ABS(D12-C12)&gt;0.0001,D$10&gt;$C$5),4,IF(C50=4,3,IF(C50=3,2,IF(C50=2,1,0))))</f>
        <v>0</v>
      </c>
      <c r="E50" s="23">
        <f>IF(AND(ABS((E12-D12)-('Input data'!E13-'Input data'!D13))&gt;0.0001,ABS(E12-D12)&gt;0.0001,E$10&gt;$C$5),4,IF(D50=4,3,IF(D50=3,2,IF(D50=2,1,0))))</f>
        <v>0</v>
      </c>
      <c r="F50" s="23">
        <f>IF(AND(ABS((F12-E12)-('Input data'!F13-'Input data'!E13))&gt;0.0001,ABS(F12-E12)&gt;0.0001,F$10&gt;$C$5),4,IF(E50=4,3,IF(E50=3,2,IF(E50=2,1,0))))</f>
        <v>0</v>
      </c>
      <c r="G50" s="23">
        <f>IF(AND(ABS((G12-F12)-('Input data'!G13-'Input data'!F13))&gt;0.0001,ABS(G12-F12)&gt;0.0001,G$10&gt;$C$5),4,IF(F50=4,3,IF(F50=3,2,IF(F50=2,1,0))))</f>
        <v>0</v>
      </c>
      <c r="H50" s="23">
        <f>IF(AND(ABS((H12-G12)-('Input data'!H13-'Input data'!G13))&gt;0.0001,ABS(H12-G12)&gt;0.0001,H$10&gt;$C$5),4,IF(G50=4,3,IF(G50=3,2,IF(G50=2,1,0))))</f>
        <v>0</v>
      </c>
      <c r="I50" s="23">
        <f>IF(AND(ABS((I12-H12)-('Input data'!I13-'Input data'!H13))&gt;0.0001,ABS(I12-H12)&gt;0.0001,I$10&gt;$C$5),4,IF(H50=4,3,IF(H50=3,2,IF(H50=2,1,0))))</f>
        <v>0</v>
      </c>
      <c r="J50" s="23">
        <f>IF(AND(ABS((J12-I12)-('Input data'!J13-'Input data'!I13))&gt;0.0001,ABS(J12-I12)&gt;0.0001,J$10&gt;$C$5),4,IF(I50=4,3,IF(I50=3,2,IF(I50=2,1,0))))</f>
        <v>0</v>
      </c>
      <c r="K50" s="23">
        <f>IF(AND(ABS((K12-J12)-('Input data'!K13-'Input data'!J13))&gt;0.0001,ABS(K12-J12)&gt;0.0001,K$10&gt;$C$5),4,IF(J50=4,3,IF(J50=3,2,IF(J50=2,1,0))))</f>
        <v>0</v>
      </c>
      <c r="L50" s="23">
        <f>IF(AND(ABS((L12-K12)-('Input data'!L13-'Input data'!K13))&gt;0.0001,ABS(L12-K12)&gt;0.0001,L$10&gt;$C$5),4,IF(K50=4,3,IF(K50=3,2,IF(K50=2,1,0))))</f>
        <v>0</v>
      </c>
      <c r="M50" s="23">
        <f>IF(AND(ABS((M12-L12)-('Input data'!M13-'Input data'!L13))&gt;0.0001,ABS(M12-L12)&gt;0.0001,M$10&gt;$C$5),4,IF(L50=4,3,IF(L50=3,2,IF(L50=2,1,0))))</f>
        <v>0</v>
      </c>
      <c r="N50" s="23">
        <f>IF(AND(ABS((N12-M12)-('Input data'!N13-'Input data'!M13))&gt;0.0001,ABS(N12-M12)&gt;0.0001,N$10&gt;$C$5),4,IF(M50=4,3,IF(M50=3,2,IF(M50=2,1,0))))</f>
        <v>0</v>
      </c>
      <c r="O50" s="23">
        <f>IF(AND(ABS((O12-N12)-('Input data'!O13-'Input data'!N13))&gt;0.0001,ABS(O12-N12)&gt;0.0001,O$10&gt;$C$5),4,IF(N50=4,3,IF(N50=3,2,IF(N50=2,1,0))))</f>
        <v>0</v>
      </c>
      <c r="P50" s="23">
        <f>IF(AND(ABS((P12-O12)-('Input data'!P13-'Input data'!O13))&gt;0.0001,ABS(P12-O12)&gt;0.0001,P$10&gt;$C$5),4,IF(O50=4,3,IF(O50=3,2,IF(O50=2,1,0))))</f>
        <v>0</v>
      </c>
      <c r="Q50" s="23">
        <f>IF(AND(ABS((Q12-P12)-('Input data'!Q13-'Input data'!P13))&gt;0.0001,ABS(Q12-P12)&gt;0.0001,Q$10&gt;$C$5),4,IF(P50=4,3,IF(P50=3,2,IF(P50=2,1,0))))</f>
        <v>0</v>
      </c>
      <c r="R50" s="23">
        <f>IF(AND(ABS((R12-Q12)-('Input data'!R13-'Input data'!Q13))&gt;0.0001,ABS(R12-Q12)&gt;0.0001,R$10&gt;$C$5),4,IF(Q50=4,3,IF(Q50=3,2,IF(Q50=2,1,0))))</f>
        <v>0</v>
      </c>
      <c r="S50" s="23">
        <f>IF(AND(ABS((S12-R12)-('Input data'!S13-'Input data'!R13))&gt;0.0001,ABS(S12-R12)&gt;0.0001,S$10&gt;$C$5),4,IF(R50=4,3,IF(R50=3,2,IF(R50=2,1,0))))</f>
        <v>0</v>
      </c>
      <c r="T50" s="23">
        <f>IF(AND(ABS((T12-S12)-('Input data'!T13-'Input data'!S13))&gt;0.0001,ABS(T12-S12)&gt;0.0001,T$10&gt;$C$5),4,IF(S50=4,3,IF(S50=3,2,IF(S50=2,1,0))))</f>
        <v>0</v>
      </c>
      <c r="U50" s="23">
        <f>IF(AND(ABS((U12-T12)-('Input data'!U13-'Input data'!T13))&gt;0.0001,ABS(U12-T12)&gt;0.0001,U$10&gt;$C$5),4,IF(T50=4,3,IF(T50=3,2,IF(T50=2,1,0))))</f>
        <v>0</v>
      </c>
      <c r="V50" s="23">
        <f>IF(AND(ABS((V12-U12)-('Input data'!V13-'Input data'!U13))&gt;0.0001,ABS(V12-U12)&gt;0.0001,V$10&gt;$C$5),4,IF(U50=4,3,IF(U50=3,2,IF(U50=2,1,0))))</f>
        <v>0</v>
      </c>
      <c r="W50" s="23">
        <f>IF(AND(ABS((W12-V12)-('Input data'!W13-'Input data'!V13))&gt;0.0001,ABS(W12-V12)&gt;0.0001,W$10&gt;$C$5),4,IF(V50=4,3,IF(V50=3,2,IF(V50=2,1,0))))</f>
        <v>0</v>
      </c>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row>
    <row r="51" spans="2:48" outlineLevel="1" x14ac:dyDescent="0.2">
      <c r="B51" s="15" t="s">
        <v>73</v>
      </c>
      <c r="C51" s="23">
        <v>0</v>
      </c>
      <c r="D51" s="23">
        <f t="shared" ref="D51:W51" si="9">IF(C50=4,2/3*C30,IF(C50=3,1/3*B30,0))</f>
        <v>0</v>
      </c>
      <c r="E51" s="23">
        <f t="shared" si="9"/>
        <v>0</v>
      </c>
      <c r="F51" s="23">
        <f t="shared" si="9"/>
        <v>0</v>
      </c>
      <c r="G51" s="23">
        <f t="shared" si="9"/>
        <v>0</v>
      </c>
      <c r="H51" s="23">
        <f t="shared" si="9"/>
        <v>0</v>
      </c>
      <c r="I51" s="23">
        <f t="shared" si="9"/>
        <v>0</v>
      </c>
      <c r="J51" s="23">
        <f t="shared" si="9"/>
        <v>0</v>
      </c>
      <c r="K51" s="23">
        <f t="shared" si="9"/>
        <v>0</v>
      </c>
      <c r="L51" s="23">
        <f t="shared" si="9"/>
        <v>0</v>
      </c>
      <c r="M51" s="23">
        <f t="shared" si="9"/>
        <v>0</v>
      </c>
      <c r="N51" s="23">
        <f t="shared" si="9"/>
        <v>0</v>
      </c>
      <c r="O51" s="23">
        <f t="shared" si="9"/>
        <v>0</v>
      </c>
      <c r="P51" s="23">
        <f t="shared" si="9"/>
        <v>0</v>
      </c>
      <c r="Q51" s="23">
        <f t="shared" si="9"/>
        <v>0</v>
      </c>
      <c r="R51" s="23">
        <f t="shared" si="9"/>
        <v>0</v>
      </c>
      <c r="S51" s="23">
        <f t="shared" si="9"/>
        <v>0</v>
      </c>
      <c r="T51" s="23">
        <f t="shared" si="9"/>
        <v>0</v>
      </c>
      <c r="U51" s="23">
        <f t="shared" si="9"/>
        <v>0</v>
      </c>
      <c r="V51" s="23">
        <f t="shared" si="9"/>
        <v>0</v>
      </c>
      <c r="W51" s="23">
        <f t="shared" si="9"/>
        <v>0</v>
      </c>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row>
    <row r="52" spans="2:48" outlineLevel="1" x14ac:dyDescent="0.2">
      <c r="B52" s="15" t="s">
        <v>74</v>
      </c>
      <c r="C52" s="23"/>
      <c r="D52" s="23">
        <f>'Input data'!D30-$C$47*((D12-C12)-('Input data'!D13-'Input data'!C13))</f>
        <v>4.3289179999999998</v>
      </c>
      <c r="E52" s="23">
        <f>'Input data'!E30-$C$47*((E12-D12)-('Input data'!E13-'Input data'!D13))</f>
        <v>9.7021999999999997E-2</v>
      </c>
      <c r="F52" s="23">
        <f>'Input data'!F30-$C$47*((F12-E12)-('Input data'!F13-'Input data'!E13))</f>
        <v>0.76041639999999999</v>
      </c>
      <c r="G52" s="23">
        <f>'Input data'!G30-$C$47*((G12-F12))</f>
        <v>1.4546490000000001</v>
      </c>
      <c r="H52" s="23">
        <f>'Input data'!H30-$C$47*((H12-G12))</f>
        <v>1.8523499999999999</v>
      </c>
      <c r="I52" s="23">
        <f>'Input data'!I30-$C$47*((I12-H12))</f>
        <v>1.7025399999999999</v>
      </c>
      <c r="J52" s="23">
        <f>'Input data'!J30-$C$47*((J12-I12))</f>
        <v>1.3549960000000001</v>
      </c>
      <c r="K52" s="23">
        <f>'Input data'!K30-$C$47*((K12-J12))</f>
        <v>1.0625849999999999</v>
      </c>
      <c r="L52" s="23">
        <f>'Input data'!L30-$C$47*((L12-K12))</f>
        <v>1.032675</v>
      </c>
      <c r="M52" s="23">
        <f>'Input data'!M30-$C$47*((M12-L12))</f>
        <v>0.99759059999999999</v>
      </c>
      <c r="N52" s="23">
        <f>'Input data'!N30-$C$47*((N12-M12))</f>
        <v>0.97505750000000002</v>
      </c>
      <c r="O52" s="23">
        <f>'Input data'!O30-$C$47*((O12-N12))</f>
        <v>0.98748159999999996</v>
      </c>
      <c r="P52" s="23">
        <f>'Input data'!P30-$C$47*((P12-O12))</f>
        <v>1.0150079999999999</v>
      </c>
      <c r="Q52" s="23">
        <f>'Input data'!Q30-$C$47*((Q12-P12))</f>
        <v>1.0425329999999999</v>
      </c>
      <c r="R52" s="23">
        <f>'Input data'!R30-$C$47*((R12-Q12))</f>
        <v>1.070057</v>
      </c>
      <c r="S52" s="23">
        <f>'Input data'!S30-$C$47*((S12-R12))</f>
        <v>1.179827</v>
      </c>
      <c r="T52" s="23">
        <f>'Input data'!T30-$C$47*((T12-S12))</f>
        <v>1.2857700000000001</v>
      </c>
      <c r="U52" s="23">
        <f>'Input data'!U30-$C$47*((U12-T12))</f>
        <v>1.4476530000000001</v>
      </c>
      <c r="V52" s="23">
        <f>'Input data'!V30-$C$47*((V12-U12))</f>
        <v>1.6124210000000001</v>
      </c>
      <c r="W52" s="23">
        <f>'Input data'!W30-$C$47*((W12-V12))</f>
        <v>1.664423</v>
      </c>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row>
    <row r="53" spans="2:48" x14ac:dyDescent="0.2">
      <c r="C53" s="25"/>
    </row>
    <row r="54" spans="2:48" s="52" customFormat="1" ht="12.75" outlineLevel="1" x14ac:dyDescent="0.2">
      <c r="B54" s="57" t="s">
        <v>75</v>
      </c>
      <c r="C54" s="54"/>
      <c r="E54" s="55"/>
      <c r="F54" s="54"/>
    </row>
    <row r="55" spans="2:48" outlineLevel="1" x14ac:dyDescent="0.2">
      <c r="B55" s="30"/>
      <c r="C55" s="18"/>
      <c r="E55" s="31"/>
      <c r="F55" s="18"/>
    </row>
    <row r="56" spans="2:48" outlineLevel="1" x14ac:dyDescent="0.2">
      <c r="B56" s="66"/>
      <c r="C56" s="67">
        <v>2021</v>
      </c>
      <c r="D56" s="67">
        <v>2022</v>
      </c>
      <c r="E56" s="67">
        <v>2023</v>
      </c>
      <c r="F56" s="67">
        <v>2024</v>
      </c>
      <c r="G56" s="67">
        <v>2025</v>
      </c>
      <c r="H56" s="67">
        <v>2026</v>
      </c>
      <c r="I56" s="67">
        <v>2027</v>
      </c>
      <c r="J56" s="67">
        <v>2028</v>
      </c>
      <c r="K56" s="67">
        <v>2029</v>
      </c>
      <c r="L56" s="67">
        <v>2030</v>
      </c>
      <c r="M56" s="67">
        <v>2031</v>
      </c>
      <c r="N56" s="67">
        <v>2032</v>
      </c>
      <c r="O56" s="67">
        <v>2033</v>
      </c>
      <c r="P56" s="67">
        <v>2034</v>
      </c>
      <c r="Q56" s="67">
        <v>2035</v>
      </c>
      <c r="R56" s="67">
        <v>2036</v>
      </c>
      <c r="S56" s="67">
        <v>2037</v>
      </c>
      <c r="T56" s="67">
        <v>2038</v>
      </c>
      <c r="U56" s="67">
        <v>2039</v>
      </c>
      <c r="V56" s="67">
        <v>2040</v>
      </c>
      <c r="W56" s="67">
        <v>2041</v>
      </c>
    </row>
    <row r="57" spans="2:48" ht="10.5" customHeight="1" outlineLevel="1" x14ac:dyDescent="0.2">
      <c r="B57" s="68" t="s">
        <v>76</v>
      </c>
      <c r="C57" s="32">
        <f>+'Input data'!C12</f>
        <v>51.650089999999999</v>
      </c>
      <c r="D57" s="32">
        <f>+C57+D58</f>
        <v>50.132855552279821</v>
      </c>
      <c r="E57" s="32">
        <f>+D57+E58</f>
        <v>46.482690336671389</v>
      </c>
      <c r="F57" s="32">
        <f>+E57+F58</f>
        <v>47.061224448752846</v>
      </c>
      <c r="G57" s="32">
        <f>+F57+G58</f>
        <v>48.402599148872696</v>
      </c>
      <c r="H57" s="32">
        <f t="shared" ref="H57:S57" si="10">+G57+H58</f>
        <v>48.438526378096562</v>
      </c>
      <c r="I57" s="32">
        <f t="shared" si="10"/>
        <v>48.244783647846056</v>
      </c>
      <c r="J57" s="32">
        <f t="shared" si="10"/>
        <v>48.080120326750375</v>
      </c>
      <c r="K57" s="32">
        <f t="shared" si="10"/>
        <v>48.250854371176658</v>
      </c>
      <c r="L57" s="32">
        <f t="shared" si="10"/>
        <v>48.646228475439614</v>
      </c>
      <c r="M57" s="32">
        <f t="shared" si="10"/>
        <v>49.287799730189889</v>
      </c>
      <c r="N57" s="32">
        <f t="shared" si="10"/>
        <v>50.162177262191719</v>
      </c>
      <c r="O57" s="32">
        <f t="shared" si="10"/>
        <v>51.208546889704138</v>
      </c>
      <c r="P57" s="32">
        <f t="shared" si="10"/>
        <v>52.441071550742755</v>
      </c>
      <c r="Q57" s="32">
        <f t="shared" si="10"/>
        <v>53.833503749210372</v>
      </c>
      <c r="R57" s="32">
        <f t="shared" si="10"/>
        <v>55.411476568297779</v>
      </c>
      <c r="S57" s="32">
        <f t="shared" si="10"/>
        <v>57.139808468973605</v>
      </c>
      <c r="T57" s="32">
        <f>+S57+T58</f>
        <v>58.987644442506152</v>
      </c>
      <c r="U57" s="32">
        <f>+T57+U58</f>
        <v>60.924863663676099</v>
      </c>
      <c r="V57" s="32">
        <f t="shared" ref="V57:W57" si="11">+U57+V58</f>
        <v>62.934597626211762</v>
      </c>
      <c r="W57" s="32">
        <f t="shared" si="11"/>
        <v>65.046566157525334</v>
      </c>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row>
    <row r="58" spans="2:48" outlineLevel="1" x14ac:dyDescent="0.2">
      <c r="B58" s="69" t="s">
        <v>77</v>
      </c>
      <c r="C58" s="33"/>
      <c r="D58" s="33">
        <f>-D59+D67+D72</f>
        <v>-1.5172344477201758</v>
      </c>
      <c r="E58" s="33">
        <f>-E59+E67+E72</f>
        <v>-3.6501652156084297</v>
      </c>
      <c r="F58" s="33">
        <f>-F59+F67+F72</f>
        <v>0.57853411208145367</v>
      </c>
      <c r="G58" s="33">
        <f>-G59+G67+G72</f>
        <v>1.3413747001198502</v>
      </c>
      <c r="H58" s="33">
        <f t="shared" ref="H58:S58" si="12">-H59+H67+H72</f>
        <v>3.5927229223866153E-2</v>
      </c>
      <c r="I58" s="33">
        <f t="shared" si="12"/>
        <v>-0.19374273025050592</v>
      </c>
      <c r="J58" s="33">
        <f t="shared" si="12"/>
        <v>-0.16466332109568371</v>
      </c>
      <c r="K58" s="33">
        <f t="shared" si="12"/>
        <v>0.17073404442628126</v>
      </c>
      <c r="L58" s="33">
        <f t="shared" si="12"/>
        <v>0.39537410426295527</v>
      </c>
      <c r="M58" s="33">
        <f t="shared" si="12"/>
        <v>0.64157125475027421</v>
      </c>
      <c r="N58" s="33">
        <f t="shared" si="12"/>
        <v>0.8743775320018301</v>
      </c>
      <c r="O58" s="33">
        <f t="shared" si="12"/>
        <v>1.0463696275124179</v>
      </c>
      <c r="P58" s="33">
        <f t="shared" si="12"/>
        <v>1.2325246610386174</v>
      </c>
      <c r="Q58" s="33">
        <f t="shared" si="12"/>
        <v>1.3924321984676191</v>
      </c>
      <c r="R58" s="33">
        <f t="shared" si="12"/>
        <v>1.5779728190874076</v>
      </c>
      <c r="S58" s="33">
        <f t="shared" si="12"/>
        <v>1.7283319006758251</v>
      </c>
      <c r="T58" s="33">
        <f>-T59+T67+T72</f>
        <v>1.8478359735325438</v>
      </c>
      <c r="U58" s="33">
        <f t="shared" ref="U58:W58" si="13">-U59+U67+U72</f>
        <v>1.937219221169945</v>
      </c>
      <c r="V58" s="33">
        <f t="shared" si="13"/>
        <v>2.0097339625356629</v>
      </c>
      <c r="W58" s="33">
        <f t="shared" si="13"/>
        <v>2.1119685313135701</v>
      </c>
    </row>
    <row r="59" spans="2:48" outlineLevel="1" x14ac:dyDescent="0.2">
      <c r="B59" s="65" t="s">
        <v>78</v>
      </c>
      <c r="C59" s="34"/>
      <c r="D59" s="34">
        <f>D60+D61-D62-D63-D64-D65-D66</f>
        <v>0.44650744772017598</v>
      </c>
      <c r="E59" s="34">
        <f>E60+E61-E62-E63-E64-E65-E66</f>
        <v>0.2876926156084299</v>
      </c>
      <c r="F59" s="34">
        <f t="shared" ref="F59:R59" si="14">F60+F61-F62-F63-F64-F65-F66</f>
        <v>-1.2864409120814537</v>
      </c>
      <c r="G59" s="34">
        <f t="shared" si="14"/>
        <v>-1.4101399001198536</v>
      </c>
      <c r="H59" s="34">
        <f t="shared" si="14"/>
        <v>-1.1539927515148163</v>
      </c>
      <c r="I59" s="34">
        <f t="shared" si="14"/>
        <v>-0.81246132841844609</v>
      </c>
      <c r="J59" s="34">
        <f t="shared" si="14"/>
        <v>-0.64169800014734713</v>
      </c>
      <c r="K59" s="34">
        <f t="shared" si="14"/>
        <v>-0.81019559878620706</v>
      </c>
      <c r="L59" s="34">
        <f t="shared" si="14"/>
        <v>-0.99910040115403009</v>
      </c>
      <c r="M59" s="34">
        <f t="shared" si="14"/>
        <v>-1.2128852031057942</v>
      </c>
      <c r="N59" s="34">
        <f t="shared" si="14"/>
        <v>-1.4247392858007866</v>
      </c>
      <c r="O59" s="34">
        <f t="shared" si="14"/>
        <v>-1.5980156867166817</v>
      </c>
      <c r="P59" s="34">
        <f t="shared" si="14"/>
        <v>-1.7638204888749291</v>
      </c>
      <c r="Q59" s="34">
        <f t="shared" si="14"/>
        <v>-1.9043658901172049</v>
      </c>
      <c r="R59" s="34">
        <f t="shared" si="14"/>
        <v>-2.0710934887118677</v>
      </c>
      <c r="S59" s="34">
        <f>S60+S61-S62-S63-S64-S65-S66</f>
        <v>-2.2477110825475513</v>
      </c>
      <c r="T59" s="34">
        <f>T60+T61-T62-T63-T64-T65-T66</f>
        <v>-2.3938860879079367</v>
      </c>
      <c r="U59" s="34">
        <f>U60+U61-U62-U63-U64-U65-U66</f>
        <v>-2.5445022879079335</v>
      </c>
      <c r="V59" s="34">
        <f t="shared" ref="V59:W59" si="15">V60+V61-V62-V63-V64-V65-V66</f>
        <v>-2.6840684879079406</v>
      </c>
      <c r="W59" s="34">
        <f t="shared" si="15"/>
        <v>-2.7886141928128687</v>
      </c>
    </row>
    <row r="60" spans="2:48" outlineLevel="1" x14ac:dyDescent="0.2">
      <c r="B60" s="64" t="s">
        <v>79</v>
      </c>
      <c r="C60" s="1"/>
      <c r="D60" s="1">
        <f>D12</f>
        <v>-0.58009900000000003</v>
      </c>
      <c r="E60" s="1">
        <f>E12</f>
        <v>-0.18470490000000001</v>
      </c>
      <c r="F60" s="1">
        <f>F12</f>
        <v>-0.64168910000000001</v>
      </c>
      <c r="G60" s="1">
        <f t="shared" ref="G60:W60" si="16">IF(G12="",F60,G12)</f>
        <v>-0.64168910000000001</v>
      </c>
      <c r="H60" s="1">
        <f t="shared" si="16"/>
        <v>-0.64168910000000001</v>
      </c>
      <c r="I60" s="1">
        <f t="shared" si="16"/>
        <v>-0.64168910000000001</v>
      </c>
      <c r="J60" s="1">
        <f t="shared" si="16"/>
        <v>-0.64168910000000001</v>
      </c>
      <c r="K60" s="1">
        <f t="shared" si="16"/>
        <v>-0.64168910000000001</v>
      </c>
      <c r="L60" s="1">
        <f t="shared" si="16"/>
        <v>-0.64168910000000001</v>
      </c>
      <c r="M60" s="1">
        <f t="shared" si="16"/>
        <v>-0.64168910000000001</v>
      </c>
      <c r="N60" s="1">
        <f t="shared" si="16"/>
        <v>-0.64168910000000001</v>
      </c>
      <c r="O60" s="1">
        <f t="shared" si="16"/>
        <v>-0.64168910000000001</v>
      </c>
      <c r="P60" s="1">
        <f t="shared" si="16"/>
        <v>-0.64168910000000001</v>
      </c>
      <c r="Q60" s="1">
        <f t="shared" si="16"/>
        <v>-0.64168910000000001</v>
      </c>
      <c r="R60" s="1">
        <f t="shared" si="16"/>
        <v>-0.64168910000000001</v>
      </c>
      <c r="S60" s="1">
        <f t="shared" si="16"/>
        <v>-0.64168910000000001</v>
      </c>
      <c r="T60" s="1">
        <f t="shared" si="16"/>
        <v>-0.64168910000000001</v>
      </c>
      <c r="U60" s="1">
        <f t="shared" si="16"/>
        <v>-0.64168910000000001</v>
      </c>
      <c r="V60" s="1">
        <f t="shared" si="16"/>
        <v>-0.64168910000000001</v>
      </c>
      <c r="W60" s="1">
        <f t="shared" si="16"/>
        <v>-0.64168910000000001</v>
      </c>
    </row>
    <row r="61" spans="2:48" outlineLevel="1" x14ac:dyDescent="0.2">
      <c r="B61" s="64" t="s">
        <v>80</v>
      </c>
      <c r="C61" s="1"/>
      <c r="D61" s="1">
        <v>0</v>
      </c>
      <c r="E61" s="1">
        <v>0</v>
      </c>
      <c r="F61" s="1">
        <v>0</v>
      </c>
      <c r="G61" s="1">
        <v>0</v>
      </c>
      <c r="H61" s="1">
        <v>0</v>
      </c>
      <c r="I61" s="1">
        <v>0</v>
      </c>
      <c r="J61" s="1">
        <v>0</v>
      </c>
      <c r="K61" s="1">
        <v>0</v>
      </c>
      <c r="L61" s="1">
        <v>0</v>
      </c>
      <c r="M61" s="1">
        <v>0</v>
      </c>
      <c r="N61" s="1">
        <v>0</v>
      </c>
      <c r="O61" s="1">
        <v>0</v>
      </c>
      <c r="P61" s="1">
        <v>0</v>
      </c>
      <c r="Q61" s="1">
        <v>0</v>
      </c>
      <c r="R61" s="1">
        <v>0</v>
      </c>
      <c r="S61" s="1">
        <v>0</v>
      </c>
      <c r="T61" s="1">
        <v>0</v>
      </c>
      <c r="U61" s="1">
        <v>0</v>
      </c>
      <c r="V61" s="1">
        <v>0</v>
      </c>
      <c r="W61" s="1">
        <v>0</v>
      </c>
    </row>
    <row r="62" spans="2:48" outlineLevel="1" x14ac:dyDescent="0.2">
      <c r="B62" s="64" t="s">
        <v>81</v>
      </c>
      <c r="C62" s="1"/>
      <c r="D62" s="1">
        <f t="shared" ref="D62:W62" si="17">-$C$48*D30</f>
        <v>-1.214390247720176</v>
      </c>
      <c r="E62" s="1">
        <f t="shared" si="17"/>
        <v>1.1121284391570119E-2</v>
      </c>
      <c r="F62" s="1">
        <f t="shared" si="17"/>
        <v>0.64475181208145382</v>
      </c>
      <c r="G62" s="1">
        <f t="shared" si="17"/>
        <v>0.76845080011985356</v>
      </c>
      <c r="H62" s="1">
        <f t="shared" si="17"/>
        <v>0.51230365151481616</v>
      </c>
      <c r="I62" s="1">
        <f t="shared" si="17"/>
        <v>0.17077222841844603</v>
      </c>
      <c r="J62" s="1">
        <f t="shared" si="17"/>
        <v>8.9001473470573522E-6</v>
      </c>
      <c r="K62" s="1">
        <f t="shared" si="17"/>
        <v>9.4987862049866756E-6</v>
      </c>
      <c r="L62" s="1">
        <f t="shared" si="17"/>
        <v>8.301154027556823E-6</v>
      </c>
      <c r="M62" s="1">
        <f>-$C$48*M30</f>
        <v>7.1031057950476928E-6</v>
      </c>
      <c r="N62" s="1">
        <f t="shared" si="17"/>
        <v>5.1858007892868763E-6</v>
      </c>
      <c r="O62" s="1">
        <f t="shared" si="17"/>
        <v>4.5867166781343727E-6</v>
      </c>
      <c r="P62" s="1">
        <f t="shared" si="17"/>
        <v>3.3888749282895425E-6</v>
      </c>
      <c r="Q62" s="1">
        <f t="shared" si="17"/>
        <v>2.7901172022781751E-6</v>
      </c>
      <c r="R62" s="1">
        <f t="shared" si="17"/>
        <v>3.3887118633391111E-6</v>
      </c>
      <c r="S62" s="1">
        <f t="shared" si="17"/>
        <v>5.1825475504974072E-6</v>
      </c>
      <c r="T62" s="1">
        <f t="shared" si="17"/>
        <v>3.9879079376525794E-6</v>
      </c>
      <c r="U62" s="1">
        <f>-$C$48*U30</f>
        <v>3.9879079309357301E-6</v>
      </c>
      <c r="V62" s="1">
        <f t="shared" si="17"/>
        <v>3.9879079376525794E-6</v>
      </c>
      <c r="W62" s="1">
        <f t="shared" si="17"/>
        <v>3.3928128692628512E-6</v>
      </c>
    </row>
    <row r="63" spans="2:48" outlineLevel="1" x14ac:dyDescent="0.2">
      <c r="B63" s="64" t="s">
        <v>82</v>
      </c>
      <c r="C63" s="1"/>
      <c r="D63" s="1">
        <f t="shared" ref="D63:W63" si="18">-D14</f>
        <v>0.1877838</v>
      </c>
      <c r="E63" s="1">
        <f t="shared" si="18"/>
        <v>-0.48351880000000003</v>
      </c>
      <c r="F63" s="1">
        <f t="shared" si="18"/>
        <v>0</v>
      </c>
      <c r="G63" s="1">
        <f t="shared" si="18"/>
        <v>0</v>
      </c>
      <c r="H63" s="1">
        <f t="shared" si="18"/>
        <v>0</v>
      </c>
      <c r="I63" s="1">
        <f t="shared" si="18"/>
        <v>0</v>
      </c>
      <c r="J63" s="1">
        <f t="shared" si="18"/>
        <v>0</v>
      </c>
      <c r="K63" s="1">
        <f t="shared" si="18"/>
        <v>0</v>
      </c>
      <c r="L63" s="1">
        <f t="shared" si="18"/>
        <v>0</v>
      </c>
      <c r="M63" s="1">
        <f t="shared" si="18"/>
        <v>0</v>
      </c>
      <c r="N63" s="1">
        <f t="shared" si="18"/>
        <v>0</v>
      </c>
      <c r="O63" s="1">
        <f t="shared" si="18"/>
        <v>0</v>
      </c>
      <c r="P63" s="1">
        <f t="shared" si="18"/>
        <v>0</v>
      </c>
      <c r="Q63" s="1">
        <f t="shared" si="18"/>
        <v>0</v>
      </c>
      <c r="R63" s="1">
        <f t="shared" si="18"/>
        <v>0</v>
      </c>
      <c r="S63" s="1">
        <f t="shared" si="18"/>
        <v>0</v>
      </c>
      <c r="T63" s="1">
        <f t="shared" si="18"/>
        <v>0</v>
      </c>
      <c r="U63" s="1">
        <f t="shared" si="18"/>
        <v>0</v>
      </c>
      <c r="V63" s="1">
        <f t="shared" si="18"/>
        <v>0</v>
      </c>
      <c r="W63" s="1">
        <f t="shared" si="18"/>
        <v>0</v>
      </c>
    </row>
    <row r="64" spans="2:48" outlineLevel="1" x14ac:dyDescent="0.2">
      <c r="B64" s="64" t="s">
        <v>83</v>
      </c>
      <c r="C64" s="1"/>
      <c r="D64" s="1">
        <f>IF(D$56&lt;=$C$6,0,HLOOKUP(D$56,'Input data'!$C$9:$BB$26,12,FALSE)-HLOOKUP($C$6,'Input data'!$C$9:$BB$26,12,FALSE))</f>
        <v>0</v>
      </c>
      <c r="E64" s="1">
        <f>IF(E$56&lt;=$C$6,0,HLOOKUP(E$56,'Input data'!$C$9:$BB$26,12,FALSE)-HLOOKUP($C$6,'Input data'!$C$9:$BB$26,12,FALSE))</f>
        <v>0</v>
      </c>
      <c r="F64" s="1">
        <f>IF(F$56&lt;=$C$6,0,HLOOKUP(F$56,'Input data'!$C$9:$BB$26,12,FALSE)-HLOOKUP($C$6,'Input data'!$C$9:$BB$26,12,FALSE))</f>
        <v>0</v>
      </c>
      <c r="G64" s="1">
        <f>IF(G$56&lt;=$C$6,0,HLOOKUP(G$56,'Input data'!$C$9:$BB$26,12,FALSE)-HLOOKUP($C$6,'Input data'!$C$9:$BB$26,12,FALSE))</f>
        <v>0</v>
      </c>
      <c r="H64" s="1">
        <f>IF(H$56&lt;=$C$6,0,HLOOKUP(H$56,'Input data'!$C$9:$BB$26,12,FALSE)-HLOOKUP($C$6,'Input data'!$C$9:$BB$26,12,FALSE))</f>
        <v>0</v>
      </c>
      <c r="I64" s="1">
        <f>IF(I$56&lt;=$C$6,0,HLOOKUP(I$56,'Input data'!$C$9:$BB$26,12,FALSE)-HLOOKUP($C$6,'Input data'!$C$9:$BB$26,12,FALSE))</f>
        <v>0</v>
      </c>
      <c r="J64" s="1">
        <f>IF(J$56&lt;=$C$6,0,HLOOKUP(J$56,'Input data'!$C$9:$BB$26,12,FALSE)-HLOOKUP($C$6,'Input data'!$C$9:$BB$26,12,FALSE))</f>
        <v>0</v>
      </c>
      <c r="K64" s="1">
        <f>IF(K$56&lt;=$C$6,0,HLOOKUP(K$56,'Input data'!$C$9:$BB$26,12,FALSE)-HLOOKUP($C$6,'Input data'!$C$9:$BB$26,12,FALSE))</f>
        <v>0.13367000000000218</v>
      </c>
      <c r="L64" s="1">
        <f>IF(L$56&lt;=$C$6,0,HLOOKUP(L$56,'Input data'!$C$9:$BB$26,12,FALSE)-HLOOKUP($C$6,'Input data'!$C$9:$BB$26,12,FALSE))</f>
        <v>0.28775000000000261</v>
      </c>
      <c r="M64" s="1">
        <f>IF(M$56&lt;=$C$6,0,HLOOKUP(M$56,'Input data'!$C$9:$BB$26,12,FALSE)-HLOOKUP($C$6,'Input data'!$C$9:$BB$26,12,FALSE))</f>
        <v>0.46670999999999907</v>
      </c>
      <c r="N64" s="1">
        <f>IF(N$56&lt;=$C$6,0,HLOOKUP(N$56,'Input data'!$C$9:$BB$26,12,FALSE)-HLOOKUP($C$6,'Input data'!$C$9:$BB$26,12,FALSE))</f>
        <v>0.64373999999999754</v>
      </c>
      <c r="O64" s="1">
        <f>IF(O$56&lt;=$C$6,0,HLOOKUP(O$56,'Input data'!$C$9:$BB$26,12,FALSE)-HLOOKUP($C$6,'Input data'!$C$9:$BB$26,12,FALSE))</f>
        <v>0.78219000000000349</v>
      </c>
      <c r="P64" s="1">
        <f>IF(P$56&lt;=$C$6,0,HLOOKUP(P$56,'Input data'!$C$9:$BB$26,12,FALSE)-HLOOKUP($C$6,'Input data'!$C$9:$BB$26,12,FALSE))</f>
        <v>0.91317000000000093</v>
      </c>
      <c r="Q64" s="1">
        <f>IF(Q$56&lt;=$C$6,0,HLOOKUP(Q$56,'Input data'!$C$9:$BB$26,12,FALSE)-HLOOKUP($C$6,'Input data'!$C$9:$BB$26,12,FALSE))</f>
        <v>1.0188900000000025</v>
      </c>
      <c r="R64" s="1">
        <f>IF(R$56&lt;=$C$6,0,HLOOKUP(R$56,'Input data'!$C$9:$BB$26,12,FALSE)-HLOOKUP($C$6,'Input data'!$C$9:$BB$26,12,FALSE))</f>
        <v>1.1507900000000042</v>
      </c>
      <c r="S64" s="1">
        <f>IF(S$56&lt;=$C$6,0,HLOOKUP(S$56,'Input data'!$C$9:$BB$26,12,FALSE)-HLOOKUP($C$6,'Input data'!$C$9:$BB$26,12,FALSE))</f>
        <v>1.292580000000001</v>
      </c>
      <c r="T64" s="1">
        <f>IF(T$56&lt;=$C$6,0,HLOOKUP(T$56,'Input data'!$C$9:$BB$26,12,FALSE)-HLOOKUP($C$6,'Input data'!$C$9:$BB$26,12,FALSE))</f>
        <v>1.403929999999999</v>
      </c>
      <c r="U64" s="1">
        <f>IF(U$56&lt;=$C$6,0,HLOOKUP(U$56,'Input data'!$C$9:$BB$26,12,FALSE)-HLOOKUP($C$6,'Input data'!$C$9:$BB$26,12,FALSE))</f>
        <v>1.5197200000000031</v>
      </c>
      <c r="V64" s="1">
        <f>IF(V$56&lt;=$C$6,0,HLOOKUP(V$56,'Input data'!$C$9:$BB$26,12,FALSE)-HLOOKUP($C$6,'Input data'!$C$9:$BB$26,12,FALSE))</f>
        <v>1.6244600000000027</v>
      </c>
      <c r="W64" s="1">
        <f>IF(W$56&lt;=$C$6,0,HLOOKUP(W$56,'Input data'!$C$9:$BB$26,12,FALSE)-HLOOKUP($C$6,'Input data'!$C$9:$BB$26,12,FALSE))</f>
        <v>1.6941799999999994</v>
      </c>
    </row>
    <row r="65" spans="2:23" outlineLevel="1" x14ac:dyDescent="0.2">
      <c r="B65" s="64" t="s">
        <v>84</v>
      </c>
      <c r="C65" s="1"/>
      <c r="D65" s="1">
        <f>IF(D$56&lt;=$C$5,0,-HLOOKUP(D$56,'Input data'!$C$9:$BB$26,18,FALSE)+HLOOKUP($C$6,'Input data'!$C$9:$BB$26,18,FALSE))</f>
        <v>0</v>
      </c>
      <c r="E65" s="1">
        <f>IF(E$56&lt;=$C$5,0,-HLOOKUP(E$56,'Input data'!$C$9:$BB$26,18,FALSE)+HLOOKUP($C$6,'Input data'!$C$9:$BB$26,18,FALSE))</f>
        <v>0</v>
      </c>
      <c r="F65" s="1">
        <f>IF(F$56&lt;=$C$5,0,-HLOOKUP(F$56,'Input data'!$C$9:$BB$26,18,FALSE)+HLOOKUP($C$6,'Input data'!$C$9:$BB$26,18,FALSE))</f>
        <v>0</v>
      </c>
      <c r="G65" s="1">
        <f>IF(G$56&lt;=$C$6,0,-HLOOKUP(G$56,'Input data'!$C$9:$BB$26,18,FALSE)+HLOOKUP($C$6,'Input data'!$C$9:$BB$26,18,FALSE))</f>
        <v>0</v>
      </c>
      <c r="H65" s="1">
        <f>IF(H$56&lt;=$C$6,0,-HLOOKUP(H$56,'Input data'!$C$9:$BB$26,18,FALSE)+HLOOKUP($C$6,'Input data'!$C$9:$BB$26,18,FALSE))</f>
        <v>0</v>
      </c>
      <c r="I65" s="1">
        <f>IF(I$56&lt;=$C$6,0,-HLOOKUP(I$56,'Input data'!$C$9:$BB$26,18,FALSE)+HLOOKUP($C$6,'Input data'!$C$9:$BB$26,18,FALSE))</f>
        <v>0</v>
      </c>
      <c r="J65" s="1">
        <f>IF(J$56&lt;=$C$6,0,-HLOOKUP(J$56,'Input data'!$C$9:$BB$26,18,FALSE)+HLOOKUP($C$6,'Input data'!$C$9:$BB$26,18,FALSE))</f>
        <v>0</v>
      </c>
      <c r="K65" s="1">
        <f>IF(K$56&lt;=$C$6,0,-HLOOKUP(K$56,'Input data'!$C$9:$BB$26,18,FALSE)+HLOOKUP($C$6,'Input data'!$C$9:$BB$26,18,FALSE))</f>
        <v>3.4826999999999941E-2</v>
      </c>
      <c r="L65" s="1">
        <f>IF(L$56&lt;=$C$6,0,-HLOOKUP(L$56,'Input data'!$C$9:$BB$26,18,FALSE)+HLOOKUP($C$6,'Input data'!$C$9:$BB$26,18,FALSE))</f>
        <v>6.9652999999999965E-2</v>
      </c>
      <c r="M65" s="1">
        <f>IF(M$56&lt;=$C$6,0,-HLOOKUP(M$56,'Input data'!$C$9:$BB$26,18,FALSE)+HLOOKUP($C$6,'Input data'!$C$9:$BB$26,18,FALSE))</f>
        <v>0.10447899999999999</v>
      </c>
      <c r="N65" s="1">
        <f>IF(N$56&lt;=$C$6,0,-HLOOKUP(N$56,'Input data'!$C$9:$BB$26,18,FALSE)+HLOOKUP($C$6,'Input data'!$C$9:$BB$26,18,FALSE))</f>
        <v>0.13930499999999979</v>
      </c>
      <c r="O65" s="1">
        <f>IF(O$56&lt;=$C$6,0,-HLOOKUP(O$56,'Input data'!$C$9:$BB$26,18,FALSE)+HLOOKUP($C$6,'Input data'!$C$9:$BB$26,18,FALSE))</f>
        <v>0.17413199999999995</v>
      </c>
      <c r="P65" s="1">
        <f>IF(P$56&lt;=$C$6,0,-HLOOKUP(P$56,'Input data'!$C$9:$BB$26,18,FALSE)+HLOOKUP($C$6,'Input data'!$C$9:$BB$26,18,FALSE))</f>
        <v>0.20895799999999998</v>
      </c>
      <c r="Q65" s="1">
        <f>IF(Q$56&lt;=$C$6,0,-HLOOKUP(Q$56,'Input data'!$C$9:$BB$26,18,FALSE)+HLOOKUP($C$6,'Input data'!$C$9:$BB$26,18,FALSE))</f>
        <v>0.243784</v>
      </c>
      <c r="R65" s="1">
        <f>IF(R$56&lt;=$C$6,0,-HLOOKUP(R$56,'Input data'!$C$9:$BB$26,18,FALSE)+HLOOKUP($C$6,'Input data'!$C$9:$BB$26,18,FALSE))</f>
        <v>0.27861099999999994</v>
      </c>
      <c r="S65" s="1">
        <f>IF(S$56&lt;=$C$6,0,-HLOOKUP(S$56,'Input data'!$C$9:$BB$26,18,FALSE)+HLOOKUP($C$6,'Input data'!$C$9:$BB$26,18,FALSE))</f>
        <v>0.31343679999999985</v>
      </c>
      <c r="T65" s="1">
        <f>IF(T$56&lt;=$C$6,0,-HLOOKUP(T$56,'Input data'!$C$9:$BB$26,18,FALSE)+HLOOKUP($C$6,'Input data'!$C$9:$BB$26,18,FALSE))</f>
        <v>0.34826299999999988</v>
      </c>
      <c r="U65" s="189">
        <f>IF(U$56&lt;=$C$6,0,-HLOOKUP(U$56,'Input data'!$C$9:$BB$26,18,FALSE)+HLOOKUP($C$6,'Input data'!$C$9:$BB$26,18,FALSE))</f>
        <v>0.38308919999999991</v>
      </c>
      <c r="V65" s="189">
        <f>IF(V$56&lt;=$C$6,0,-HLOOKUP(V$56,'Input data'!$C$9:$BB$26,18,FALSE)+HLOOKUP($C$6,'Input data'!$C$9:$BB$26,18,FALSE))</f>
        <v>0.41791539999999994</v>
      </c>
      <c r="W65" s="189">
        <f>IF(W$56&lt;=$C$6,0,-HLOOKUP(W$56,'Input data'!$C$9:$BB$26,18,FALSE)+HLOOKUP($C$6,'Input data'!$C$9:$BB$26,18,FALSE))</f>
        <v>0.45274169999999991</v>
      </c>
    </row>
    <row r="66" spans="2:23" outlineLevel="1" x14ac:dyDescent="0.2">
      <c r="B66" s="64" t="s">
        <v>85</v>
      </c>
      <c r="C66" s="26"/>
      <c r="D66" s="26">
        <v>0</v>
      </c>
      <c r="E66" s="26">
        <v>0</v>
      </c>
      <c r="F66" s="26">
        <v>0</v>
      </c>
      <c r="G66" s="26">
        <v>0</v>
      </c>
      <c r="H66" s="26">
        <v>0</v>
      </c>
      <c r="I66" s="26">
        <v>0</v>
      </c>
      <c r="J66" s="26">
        <v>0</v>
      </c>
      <c r="K66" s="26">
        <v>0</v>
      </c>
      <c r="L66" s="26">
        <v>0</v>
      </c>
      <c r="M66" s="26">
        <v>0</v>
      </c>
      <c r="N66" s="26">
        <v>0</v>
      </c>
      <c r="O66" s="26">
        <v>0</v>
      </c>
      <c r="P66" s="26">
        <v>0</v>
      </c>
      <c r="Q66" s="26">
        <v>0</v>
      </c>
      <c r="R66" s="26">
        <v>0</v>
      </c>
      <c r="S66" s="26">
        <v>0</v>
      </c>
      <c r="T66" s="26">
        <v>0</v>
      </c>
      <c r="U66" s="190">
        <v>0</v>
      </c>
      <c r="V66" s="190">
        <v>0</v>
      </c>
      <c r="W66" s="190">
        <v>0</v>
      </c>
    </row>
    <row r="67" spans="2:23" outlineLevel="1" x14ac:dyDescent="0.2">
      <c r="B67" s="65" t="s">
        <v>86</v>
      </c>
      <c r="C67" s="34"/>
      <c r="D67" s="34">
        <f t="shared" ref="D67:O67" si="19">SUM(D68:D71)</f>
        <v>-4.1995189999999996</v>
      </c>
      <c r="E67" s="34">
        <f t="shared" si="19"/>
        <v>-3.0311659999999998</v>
      </c>
      <c r="F67" s="34">
        <f t="shared" si="19"/>
        <v>-1.3079080000000001</v>
      </c>
      <c r="G67" s="34">
        <f t="shared" si="19"/>
        <v>-0.96876290000000354</v>
      </c>
      <c r="H67" s="34">
        <f t="shared" si="19"/>
        <v>-1.1180655222909501</v>
      </c>
      <c r="I67" s="34">
        <f t="shared" si="19"/>
        <v>-1.006204058668952</v>
      </c>
      <c r="J67" s="34">
        <f t="shared" si="19"/>
        <v>-0.80636132124303084</v>
      </c>
      <c r="K67" s="34">
        <f t="shared" si="19"/>
        <v>-0.6394615543599258</v>
      </c>
      <c r="L67" s="34">
        <f t="shared" si="19"/>
        <v>-0.60372629689107482</v>
      </c>
      <c r="M67" s="34">
        <f t="shared" si="19"/>
        <v>-0.57131394835551996</v>
      </c>
      <c r="N67" s="34">
        <f t="shared" si="19"/>
        <v>-0.55036175379895647</v>
      </c>
      <c r="O67" s="34">
        <f t="shared" si="19"/>
        <v>-0.55164605920426379</v>
      </c>
      <c r="P67" s="34">
        <f t="shared" ref="P67:W67" si="20">SUM(P68:P71)</f>
        <v>-0.5312958278363118</v>
      </c>
      <c r="Q67" s="34">
        <f t="shared" si="20"/>
        <v>-0.5119336916495858</v>
      </c>
      <c r="R67" s="34">
        <f t="shared" si="20"/>
        <v>-0.49312066962446011</v>
      </c>
      <c r="S67" s="34">
        <f t="shared" si="20"/>
        <v>-0.51937918187172616</v>
      </c>
      <c r="T67" s="34">
        <f t="shared" si="20"/>
        <v>-0.54605011437539286</v>
      </c>
      <c r="U67" s="34">
        <f t="shared" si="20"/>
        <v>-0.60728306673798849</v>
      </c>
      <c r="V67" s="34">
        <f t="shared" si="20"/>
        <v>-0.67433452537227778</v>
      </c>
      <c r="W67" s="34">
        <f t="shared" si="20"/>
        <v>-0.67664566149929883</v>
      </c>
    </row>
    <row r="68" spans="2:23" outlineLevel="1" x14ac:dyDescent="0.2">
      <c r="B68" s="64" t="s">
        <v>87</v>
      </c>
      <c r="C68" s="23"/>
      <c r="D68" s="23">
        <f t="shared" ref="D68:E68" si="21">C57*D36/100*(1/(1+D33/100))</f>
        <v>0.54019131595723491</v>
      </c>
      <c r="E68" s="23">
        <f t="shared" si="21"/>
        <v>0.63089540818418677</v>
      </c>
      <c r="F68" s="23">
        <f>E57*F36/100*(1/(1+F33/100))</f>
        <v>0.70022170831849662</v>
      </c>
      <c r="G68" s="23">
        <f>F57*G36/100*(1/(1+G33/100))</f>
        <v>0.7276301280115135</v>
      </c>
      <c r="H68" s="23">
        <f t="shared" ref="H68:W68" si="22">G57*H36/100*(1/(1+H33/100))</f>
        <v>0.82578568408477915</v>
      </c>
      <c r="I68" s="23">
        <f t="shared" si="22"/>
        <v>0.88755231766470777</v>
      </c>
      <c r="J68" s="23">
        <f>I57*J36/100*(1/(1+J33/100))</f>
        <v>0.93778348839775261</v>
      </c>
      <c r="K68" s="23">
        <f t="shared" si="22"/>
        <v>0.98155055744219255</v>
      </c>
      <c r="L68" s="23">
        <f t="shared" si="22"/>
        <v>1.0261964110422381</v>
      </c>
      <c r="M68" s="23">
        <f t="shared" si="22"/>
        <v>1.0727262637997059</v>
      </c>
      <c r="N68" s="23">
        <f t="shared" si="22"/>
        <v>1.12203996587107</v>
      </c>
      <c r="O68" s="23">
        <f t="shared" si="22"/>
        <v>1.1739845663769053</v>
      </c>
      <c r="P68" s="23">
        <f t="shared" si="22"/>
        <v>1.2305454636789721</v>
      </c>
      <c r="Q68" s="23">
        <f t="shared" si="22"/>
        <v>1.2925244091855093</v>
      </c>
      <c r="R68" s="23">
        <f t="shared" si="22"/>
        <v>1.3594590129814677</v>
      </c>
      <c r="S68" s="23">
        <f t="shared" si="22"/>
        <v>1.4312029147022545</v>
      </c>
      <c r="T68" s="23">
        <f t="shared" si="22"/>
        <v>1.5082478792357419</v>
      </c>
      <c r="U68" s="23">
        <f t="shared" si="22"/>
        <v>1.5889430347629441</v>
      </c>
      <c r="V68" s="23">
        <f t="shared" si="22"/>
        <v>1.67339812237369</v>
      </c>
      <c r="W68" s="23">
        <f t="shared" si="22"/>
        <v>1.7632299215509257</v>
      </c>
    </row>
    <row r="69" spans="2:23" outlineLevel="1" x14ac:dyDescent="0.2">
      <c r="B69" s="64" t="s">
        <v>88</v>
      </c>
      <c r="C69" s="23"/>
      <c r="D69" s="23">
        <f t="shared" ref="D69:W69" si="23">-C57*(D24/100)*(1/(1+D33/100))</f>
        <v>-2.030711865677985</v>
      </c>
      <c r="E69" s="23">
        <f t="shared" si="23"/>
        <v>-4.5086894383943449E-2</v>
      </c>
      <c r="F69" s="23">
        <f t="shared" si="23"/>
        <v>-0.33819184991247714</v>
      </c>
      <c r="G69" s="23">
        <f t="shared" si="23"/>
        <v>-0.65989907309060736</v>
      </c>
      <c r="H69" s="23">
        <f t="shared" si="23"/>
        <v>-0.86057861751283848</v>
      </c>
      <c r="I69" s="23">
        <f t="shared" si="23"/>
        <v>-0.7924433271880178</v>
      </c>
      <c r="J69" s="23">
        <f t="shared" si="23"/>
        <v>-0.63008179623212657</v>
      </c>
      <c r="K69" s="23">
        <f t="shared" si="23"/>
        <v>-0.49366751502581008</v>
      </c>
      <c r="L69" s="23">
        <f t="shared" si="23"/>
        <v>-0.4814427060533954</v>
      </c>
      <c r="M69" s="23">
        <f t="shared" si="23"/>
        <v>-0.46888941190882727</v>
      </c>
      <c r="N69" s="23">
        <f t="shared" si="23"/>
        <v>-0.46427750945642393</v>
      </c>
      <c r="O69" s="23">
        <f t="shared" si="23"/>
        <v>-0.47830198571194571</v>
      </c>
      <c r="P69" s="23">
        <f t="shared" si="23"/>
        <v>-0.50188801755806778</v>
      </c>
      <c r="Q69" s="23">
        <f t="shared" si="23"/>
        <v>-0.52790340529772073</v>
      </c>
      <c r="R69" s="23">
        <f t="shared" si="23"/>
        <v>-0.55622551663938657</v>
      </c>
      <c r="S69" s="23">
        <f t="shared" si="23"/>
        <v>-0.63074606741889871</v>
      </c>
      <c r="T69" s="23">
        <f t="shared" si="23"/>
        <v>-0.70827296803907269</v>
      </c>
      <c r="U69" s="23">
        <f t="shared" si="23"/>
        <v>-0.82214267135611485</v>
      </c>
      <c r="V69" s="23">
        <f t="shared" si="23"/>
        <v>-0.94450996169837576</v>
      </c>
      <c r="W69" s="23">
        <f t="shared" si="23"/>
        <v>-1.0068880674724527</v>
      </c>
    </row>
    <row r="70" spans="2:23" outlineLevel="1" x14ac:dyDescent="0.2">
      <c r="B70" s="64" t="s">
        <v>89</v>
      </c>
      <c r="C70" s="23"/>
      <c r="D70" s="23">
        <f t="shared" ref="D70:W70" si="24">-C57*D42/100*(1/(1+D42/100))</f>
        <v>-2.7089985503709033</v>
      </c>
      <c r="E70" s="23">
        <f t="shared" si="24"/>
        <v>-3.6169740093177798</v>
      </c>
      <c r="F70" s="23">
        <f t="shared" si="24"/>
        <v>-1.669938244176407</v>
      </c>
      <c r="G70" s="23">
        <f t="shared" si="24"/>
        <v>-1.0364935096516961</v>
      </c>
      <c r="H70" s="23">
        <f t="shared" si="24"/>
        <v>-1.0832725888628909</v>
      </c>
      <c r="I70" s="23">
        <f t="shared" si="24"/>
        <v>-1.101313049145642</v>
      </c>
      <c r="J70" s="23">
        <f t="shared" si="24"/>
        <v>-1.1140630134086569</v>
      </c>
      <c r="K70" s="23">
        <f t="shared" si="24"/>
        <v>-1.1273445967763083</v>
      </c>
      <c r="L70" s="23">
        <f t="shared" si="24"/>
        <v>-1.1484800018799175</v>
      </c>
      <c r="M70" s="23">
        <f t="shared" si="24"/>
        <v>-1.1751508002463986</v>
      </c>
      <c r="N70" s="23">
        <f t="shared" si="24"/>
        <v>-1.2081242102136025</v>
      </c>
      <c r="O70" s="23">
        <f t="shared" si="24"/>
        <v>-1.2473286398692234</v>
      </c>
      <c r="P70" s="23">
        <f t="shared" si="24"/>
        <v>-1.2599532739572161</v>
      </c>
      <c r="Q70" s="23">
        <f t="shared" si="24"/>
        <v>-1.2765546955373743</v>
      </c>
      <c r="R70" s="23">
        <f t="shared" si="24"/>
        <v>-1.2963541659665412</v>
      </c>
      <c r="S70" s="23">
        <f t="shared" si="24"/>
        <v>-1.3198360291550819</v>
      </c>
      <c r="T70" s="23">
        <f t="shared" si="24"/>
        <v>-1.3460250255720621</v>
      </c>
      <c r="U70" s="23">
        <f t="shared" si="24"/>
        <v>-1.3740834301448177</v>
      </c>
      <c r="V70" s="23">
        <f t="shared" si="24"/>
        <v>-1.403222686047592</v>
      </c>
      <c r="W70" s="23">
        <f t="shared" si="24"/>
        <v>-1.4329875155777718</v>
      </c>
    </row>
    <row r="71" spans="2:23" outlineLevel="1" x14ac:dyDescent="0.2">
      <c r="B71" s="64" t="s">
        <v>90</v>
      </c>
      <c r="C71" s="35"/>
      <c r="D71" s="35">
        <f>'Baseline NFPC'!D70</f>
        <v>1.0009165407609544E-7</v>
      </c>
      <c r="E71" s="35">
        <f>'Baseline NFPC'!E70</f>
        <v>-5.0448246335932367E-7</v>
      </c>
      <c r="F71" s="35">
        <f>'Baseline NFPC'!F70</f>
        <v>3.8577038741216541E-7</v>
      </c>
      <c r="G71" s="35">
        <f>'Baseline NFPC'!G70</f>
        <v>-4.4526921361143224E-7</v>
      </c>
      <c r="H71" s="35">
        <v>0</v>
      </c>
      <c r="I71" s="35">
        <v>0</v>
      </c>
      <c r="J71" s="35">
        <v>0</v>
      </c>
      <c r="K71" s="35">
        <v>0</v>
      </c>
      <c r="L71" s="35">
        <v>0</v>
      </c>
      <c r="M71" s="35">
        <v>0</v>
      </c>
      <c r="N71" s="35">
        <v>0</v>
      </c>
      <c r="O71" s="35">
        <v>0</v>
      </c>
      <c r="P71" s="35">
        <v>0</v>
      </c>
      <c r="Q71" s="35">
        <v>0</v>
      </c>
      <c r="R71" s="35">
        <v>0</v>
      </c>
      <c r="S71" s="35">
        <v>0</v>
      </c>
      <c r="T71" s="35">
        <v>0</v>
      </c>
      <c r="U71" s="35">
        <v>0</v>
      </c>
      <c r="V71" s="35">
        <v>0</v>
      </c>
      <c r="W71" s="35">
        <v>0</v>
      </c>
    </row>
    <row r="72" spans="2:23" outlineLevel="1" x14ac:dyDescent="0.2">
      <c r="B72" s="65" t="s">
        <v>91</v>
      </c>
      <c r="C72" s="36"/>
      <c r="D72" s="36">
        <f>'Input data'!D16</f>
        <v>3.1287919999999998</v>
      </c>
      <c r="E72" s="36">
        <f>'Input data'!E16</f>
        <v>-0.33130660000000001</v>
      </c>
      <c r="F72" s="36">
        <f>'Input data'!F16</f>
        <v>0.60000120000000001</v>
      </c>
      <c r="G72" s="36">
        <f>'Input data'!G16</f>
        <v>0.89999770000000001</v>
      </c>
      <c r="H72" s="36">
        <f>'Input data'!H16</f>
        <v>0</v>
      </c>
      <c r="I72" s="36">
        <f>'Input data'!I16</f>
        <v>0</v>
      </c>
      <c r="J72" s="36">
        <f>'Input data'!J16</f>
        <v>0</v>
      </c>
      <c r="K72" s="36">
        <f>'Input data'!K16</f>
        <v>0</v>
      </c>
      <c r="L72" s="36">
        <f>'Input data'!L16</f>
        <v>0</v>
      </c>
      <c r="M72" s="36">
        <f>'Input data'!M16</f>
        <v>0</v>
      </c>
      <c r="N72" s="36">
        <f>'Input data'!N16</f>
        <v>0</v>
      </c>
      <c r="O72" s="36">
        <f>'Input data'!O16</f>
        <v>0</v>
      </c>
      <c r="P72" s="36">
        <f>'Input data'!P16</f>
        <v>0</v>
      </c>
      <c r="Q72" s="36">
        <f>'Input data'!Q16</f>
        <v>0</v>
      </c>
      <c r="R72" s="36">
        <f>'Input data'!R16</f>
        <v>0</v>
      </c>
      <c r="S72" s="36">
        <f>'Input data'!S16</f>
        <v>0</v>
      </c>
      <c r="T72" s="36">
        <f>'Input data'!T16</f>
        <v>0</v>
      </c>
      <c r="U72" s="36">
        <f>'Input data'!U16</f>
        <v>0</v>
      </c>
      <c r="V72" s="36">
        <f>'Input data'!V16</f>
        <v>0</v>
      </c>
      <c r="W72" s="36">
        <f>'Input data'!W16</f>
        <v>0</v>
      </c>
    </row>
    <row r="73" spans="2:23" outlineLevel="1" x14ac:dyDescent="0.2">
      <c r="B73" s="64" t="s">
        <v>92</v>
      </c>
      <c r="C73" s="23"/>
      <c r="D73" s="23">
        <f t="shared" ref="D73:W73" si="25">D15</f>
        <v>3.1287919999999998</v>
      </c>
      <c r="E73" s="23">
        <f t="shared" si="25"/>
        <v>-0.33130710000000002</v>
      </c>
      <c r="F73" s="23">
        <f t="shared" si="25"/>
        <v>0.6</v>
      </c>
      <c r="G73" s="23">
        <f t="shared" si="25"/>
        <v>0.9</v>
      </c>
      <c r="H73" s="23">
        <f t="shared" si="25"/>
        <v>0</v>
      </c>
      <c r="I73" s="23">
        <f t="shared" si="25"/>
        <v>0</v>
      </c>
      <c r="J73" s="23">
        <f t="shared" si="25"/>
        <v>0</v>
      </c>
      <c r="K73" s="23">
        <f t="shared" si="25"/>
        <v>0</v>
      </c>
      <c r="L73" s="23">
        <f t="shared" si="25"/>
        <v>0</v>
      </c>
      <c r="M73" s="23">
        <f t="shared" si="25"/>
        <v>0</v>
      </c>
      <c r="N73" s="23">
        <f t="shared" si="25"/>
        <v>0</v>
      </c>
      <c r="O73" s="23">
        <f t="shared" si="25"/>
        <v>0</v>
      </c>
      <c r="P73" s="23">
        <f t="shared" si="25"/>
        <v>0</v>
      </c>
      <c r="Q73" s="23">
        <f t="shared" si="25"/>
        <v>0</v>
      </c>
      <c r="R73" s="23">
        <f t="shared" si="25"/>
        <v>0</v>
      </c>
      <c r="S73" s="23">
        <f t="shared" si="25"/>
        <v>0</v>
      </c>
      <c r="T73" s="23">
        <f t="shared" si="25"/>
        <v>0</v>
      </c>
      <c r="U73" s="23">
        <f t="shared" si="25"/>
        <v>0</v>
      </c>
      <c r="V73" s="23">
        <f t="shared" si="25"/>
        <v>0</v>
      </c>
      <c r="W73" s="23">
        <f t="shared" si="25"/>
        <v>0</v>
      </c>
    </row>
    <row r="74" spans="2:23" outlineLevel="1" x14ac:dyDescent="0.2">
      <c r="B74" s="70" t="s">
        <v>93</v>
      </c>
      <c r="C74" s="35"/>
      <c r="D74" s="35">
        <f>+D72-D73</f>
        <v>0</v>
      </c>
      <c r="E74" s="35">
        <f t="shared" ref="E74:W74" si="26">+E72-E73</f>
        <v>5.0000000001437783E-7</v>
      </c>
      <c r="F74" s="35">
        <f t="shared" si="26"/>
        <v>1.2000000000345068E-6</v>
      </c>
      <c r="G74" s="35">
        <f t="shared" si="26"/>
        <v>-2.3000000000106269E-6</v>
      </c>
      <c r="H74" s="35">
        <f t="shared" si="26"/>
        <v>0</v>
      </c>
      <c r="I74" s="35">
        <f t="shared" si="26"/>
        <v>0</v>
      </c>
      <c r="J74" s="35">
        <f t="shared" si="26"/>
        <v>0</v>
      </c>
      <c r="K74" s="35">
        <f t="shared" si="26"/>
        <v>0</v>
      </c>
      <c r="L74" s="35">
        <f t="shared" si="26"/>
        <v>0</v>
      </c>
      <c r="M74" s="35">
        <f t="shared" si="26"/>
        <v>0</v>
      </c>
      <c r="N74" s="35">
        <f t="shared" si="26"/>
        <v>0</v>
      </c>
      <c r="O74" s="35">
        <f t="shared" si="26"/>
        <v>0</v>
      </c>
      <c r="P74" s="35">
        <f t="shared" si="26"/>
        <v>0</v>
      </c>
      <c r="Q74" s="35">
        <f t="shared" si="26"/>
        <v>0</v>
      </c>
      <c r="R74" s="35">
        <f t="shared" si="26"/>
        <v>0</v>
      </c>
      <c r="S74" s="35">
        <f t="shared" si="26"/>
        <v>0</v>
      </c>
      <c r="T74" s="35">
        <f t="shared" si="26"/>
        <v>0</v>
      </c>
      <c r="U74" s="35">
        <f t="shared" si="26"/>
        <v>0</v>
      </c>
      <c r="V74" s="35">
        <f t="shared" si="26"/>
        <v>0</v>
      </c>
      <c r="W74" s="35">
        <f t="shared" si="26"/>
        <v>0</v>
      </c>
    </row>
    <row r="75" spans="2:23" ht="10.5" customHeight="1" outlineLevel="1" x14ac:dyDescent="0.2"/>
    <row r="76" spans="2:23" ht="10.5" customHeight="1" outlineLevel="1" x14ac:dyDescent="0.2">
      <c r="B76" s="71" t="s">
        <v>94</v>
      </c>
    </row>
    <row r="77" spans="2:23" x14ac:dyDescent="0.2">
      <c r="B77" s="62" t="s">
        <v>19</v>
      </c>
      <c r="C77" s="62"/>
      <c r="D77" s="63">
        <f>D59-D68</f>
        <v>-9.3683868237058932E-2</v>
      </c>
      <c r="E77" s="63">
        <f t="shared" ref="E77:W77" si="27">E59-E68</f>
        <v>-0.34320279257575687</v>
      </c>
      <c r="F77" s="63">
        <f t="shared" si="27"/>
        <v>-1.9866626203999505</v>
      </c>
      <c r="G77" s="63">
        <f>G59-G68</f>
        <v>-2.1377700281313672</v>
      </c>
      <c r="H77" s="63">
        <f t="shared" si="27"/>
        <v>-1.9797784355995955</v>
      </c>
      <c r="I77" s="63">
        <f t="shared" si="27"/>
        <v>-1.7000136460831539</v>
      </c>
      <c r="J77" s="63">
        <f t="shared" si="27"/>
        <v>-1.5794814885450998</v>
      </c>
      <c r="K77" s="63">
        <f t="shared" si="27"/>
        <v>-1.7917461562283996</v>
      </c>
      <c r="L77" s="63">
        <f t="shared" si="27"/>
        <v>-2.0252968121962684</v>
      </c>
      <c r="M77" s="63">
        <f t="shared" si="27"/>
        <v>-2.2856114669055003</v>
      </c>
      <c r="N77" s="63">
        <f t="shared" si="27"/>
        <v>-2.5467792516718566</v>
      </c>
      <c r="O77" s="63">
        <f t="shared" si="27"/>
        <v>-2.7720002530935872</v>
      </c>
      <c r="P77" s="63">
        <f t="shared" si="27"/>
        <v>-2.9943659525539013</v>
      </c>
      <c r="Q77" s="63">
        <f t="shared" si="27"/>
        <v>-3.196890299302714</v>
      </c>
      <c r="R77" s="63">
        <f t="shared" si="27"/>
        <v>-3.4305525016933354</v>
      </c>
      <c r="S77" s="63">
        <f t="shared" si="27"/>
        <v>-3.6789139972498059</v>
      </c>
      <c r="T77" s="63">
        <f t="shared" si="27"/>
        <v>-3.9021339671436786</v>
      </c>
      <c r="U77" s="63">
        <f t="shared" si="27"/>
        <v>-4.1334453226708776</v>
      </c>
      <c r="V77" s="63">
        <f t="shared" si="27"/>
        <v>-4.3574666102816302</v>
      </c>
      <c r="W77" s="63">
        <f t="shared" si="27"/>
        <v>-4.551844114363794</v>
      </c>
    </row>
    <row r="78" spans="2:23" x14ac:dyDescent="0.2">
      <c r="B78" s="15" t="s">
        <v>20</v>
      </c>
      <c r="D78" s="23">
        <f>D60-D68-D64-D65-D66</f>
        <v>-1.1202903159572348</v>
      </c>
      <c r="E78" s="23">
        <f t="shared" ref="E78:W78" si="28">E60-E68-E64-E65-E66</f>
        <v>-0.81560030818418672</v>
      </c>
      <c r="F78" s="23">
        <f t="shared" si="28"/>
        <v>-1.3419108083184965</v>
      </c>
      <c r="G78" s="23">
        <f t="shared" si="28"/>
        <v>-1.3693192280115136</v>
      </c>
      <c r="H78" s="23">
        <f t="shared" si="28"/>
        <v>-1.467474784084779</v>
      </c>
      <c r="I78" s="23">
        <f t="shared" si="28"/>
        <v>-1.5292414176647078</v>
      </c>
      <c r="J78" s="23">
        <f t="shared" si="28"/>
        <v>-1.5794725883977527</v>
      </c>
      <c r="K78" s="23">
        <f t="shared" si="28"/>
        <v>-1.7917366574421947</v>
      </c>
      <c r="L78" s="23">
        <f t="shared" si="28"/>
        <v>-2.0252885110422407</v>
      </c>
      <c r="M78" s="23">
        <f t="shared" si="28"/>
        <v>-2.2856043637997048</v>
      </c>
      <c r="N78" s="23">
        <f t="shared" si="28"/>
        <v>-2.5467740658710674</v>
      </c>
      <c r="O78" s="23">
        <f t="shared" si="28"/>
        <v>-2.7719956663769088</v>
      </c>
      <c r="P78" s="23">
        <f t="shared" si="28"/>
        <v>-2.994362563678973</v>
      </c>
      <c r="Q78" s="23">
        <f t="shared" si="28"/>
        <v>-3.1968875091855118</v>
      </c>
      <c r="R78" s="23">
        <f t="shared" si="28"/>
        <v>-3.4305491129814714</v>
      </c>
      <c r="S78" s="23">
        <f t="shared" si="28"/>
        <v>-3.6789088147022553</v>
      </c>
      <c r="T78" s="23">
        <f t="shared" si="28"/>
        <v>-3.9021299792357405</v>
      </c>
      <c r="U78" s="23">
        <f t="shared" si="28"/>
        <v>-4.1334413347629466</v>
      </c>
      <c r="V78" s="23">
        <f t="shared" si="28"/>
        <v>-4.357462622373693</v>
      </c>
      <c r="W78" s="23">
        <f t="shared" si="28"/>
        <v>-4.5518407215509251</v>
      </c>
    </row>
    <row r="79" spans="2:23" x14ac:dyDescent="0.2">
      <c r="B79" s="24" t="s">
        <v>95</v>
      </c>
      <c r="C79" s="24"/>
      <c r="D79" s="239">
        <f>'Input data'!D45</f>
        <v>7.7843692724171865</v>
      </c>
      <c r="E79" s="239">
        <f>'Input data'!E45</f>
        <v>7.6971736647214657</v>
      </c>
      <c r="F79" s="239">
        <f>'Input data'!F45</f>
        <v>6.6313654883524142</v>
      </c>
      <c r="G79" s="35">
        <f>'Input data'!G33+G42-(G$12-F$12)/'Input data'!$C$64*100</f>
        <v>3.9167889999999996</v>
      </c>
      <c r="H79" s="35">
        <f>'Input data'!H33+H42-(H$12-G$12)/'Input data'!$C$64*100</f>
        <v>3.7067224999999997</v>
      </c>
      <c r="I79" s="35">
        <f>'Input data'!I33+I42-(I$12-H$12)/'Input data'!$C$64*100</f>
        <v>3.4533160000000001</v>
      </c>
      <c r="J79" s="35">
        <f>'Input data'!J33+J42-(J$12-I$12)/'Input data'!$C$64*100</f>
        <v>3.4326905000000001</v>
      </c>
      <c r="K79" s="35">
        <f>'Input data'!K33+K42-(K$12-J$12)/'Input data'!$C$64*100</f>
        <v>3.4636039999999997</v>
      </c>
      <c r="L79" s="35">
        <f>'Input data'!L33+L42-(L$12-K$12)/'Input data'!$C$64*100</f>
        <v>3.4709364999999996</v>
      </c>
      <c r="M79" s="35">
        <f>'Input data'!M33+M42-(M$12-L$12)/'Input data'!$C$64*100</f>
        <v>3.4730976</v>
      </c>
      <c r="N79" s="35">
        <f>'Input data'!N33+N42-(N$12-M$12)/'Input data'!$C$64*100</f>
        <v>3.4878087999999998</v>
      </c>
      <c r="O79" s="35">
        <f>'Input data'!O33+O42-(O$12-N$12)/'Input data'!$C$64*100</f>
        <v>3.5374805999999999</v>
      </c>
      <c r="P79" s="35">
        <f>'Input data'!P33+P42-(P$12-O$12)/'Input data'!$C$64*100</f>
        <v>3.537506</v>
      </c>
      <c r="Q79" s="35">
        <f>'Input data'!Q33+Q42-(Q$12-P$12)/'Input data'!$C$64*100</f>
        <v>3.5375319999999997</v>
      </c>
      <c r="R79" s="35">
        <f>'Input data'!R33+R42-(R$12-Q$12)/'Input data'!$C$64*100</f>
        <v>3.5375579999999998</v>
      </c>
      <c r="S79" s="35">
        <f>'Input data'!S33+S42-(S$12-R$12)/'Input data'!$C$64*100</f>
        <v>3.6198299999999999</v>
      </c>
      <c r="T79" s="35">
        <f>'Input data'!T33+T42-(T$12-S$12)/'Input data'!$C$64*100</f>
        <v>3.6982679999999997</v>
      </c>
      <c r="U79" s="35">
        <f>'Input data'!U33+U42-(U$12-T$12)/'Input data'!$C$64*100</f>
        <v>3.8326529999999996</v>
      </c>
      <c r="V79" s="35">
        <f>'Input data'!V33+V42-(V$12-U$12)/'Input data'!$C$64*100</f>
        <v>3.9699210000000003</v>
      </c>
      <c r="W79" s="35">
        <f>'Input data'!W33+W42-(W$12-V$12)/'Input data'!$C$64*100</f>
        <v>3.9944220000000001</v>
      </c>
    </row>
    <row r="80" spans="2:23" x14ac:dyDescent="0.2">
      <c r="D80" s="23"/>
      <c r="E80" s="23"/>
      <c r="F80" s="23"/>
      <c r="G80" s="23"/>
      <c r="H80" s="23"/>
      <c r="I80" s="23"/>
      <c r="J80" s="23"/>
      <c r="K80" s="23"/>
      <c r="L80" s="23"/>
      <c r="M80" s="23"/>
      <c r="N80" s="23"/>
      <c r="O80" s="23"/>
      <c r="P80" s="23"/>
      <c r="Q80" s="23"/>
      <c r="R80" s="23"/>
      <c r="S80" s="23"/>
      <c r="T80" s="23"/>
      <c r="U80" s="23"/>
      <c r="V80" s="23"/>
      <c r="W80" s="23"/>
    </row>
    <row r="81" spans="2:23" x14ac:dyDescent="0.2">
      <c r="B81" s="90" t="s">
        <v>115</v>
      </c>
      <c r="C81" s="37"/>
      <c r="D81" s="154">
        <f ca="1">AVERAGE(OFFSET($G$79,0,0,1,'Criteria results'!F5))</f>
        <v>3.6273795</v>
      </c>
      <c r="E81" s="23"/>
      <c r="F81" s="23"/>
      <c r="G81" s="23"/>
      <c r="H81" s="23"/>
      <c r="I81" s="25"/>
      <c r="J81" s="25"/>
      <c r="K81" s="25"/>
      <c r="L81" s="25"/>
      <c r="M81" s="23"/>
      <c r="N81" s="23"/>
      <c r="O81" s="23"/>
      <c r="P81" s="23"/>
      <c r="Q81" s="23"/>
      <c r="R81" s="23"/>
      <c r="S81" s="23"/>
      <c r="T81" s="23"/>
      <c r="U81" s="23"/>
      <c r="V81" s="23"/>
      <c r="W81" s="23"/>
    </row>
    <row r="82" spans="2:23" x14ac:dyDescent="0.2">
      <c r="B82" s="68"/>
      <c r="C82" s="62"/>
      <c r="D82" s="274"/>
      <c r="E82" s="23"/>
      <c r="F82" s="23"/>
      <c r="G82" s="23"/>
      <c r="H82" s="23"/>
      <c r="I82" s="25"/>
      <c r="J82" s="25"/>
      <c r="K82" s="25"/>
      <c r="L82" s="25"/>
      <c r="M82" s="23"/>
      <c r="N82" s="23"/>
      <c r="O82" s="23"/>
      <c r="P82" s="23"/>
      <c r="Q82" s="23"/>
      <c r="R82" s="23"/>
      <c r="S82" s="23"/>
      <c r="T82" s="23"/>
      <c r="U82" s="23"/>
      <c r="V82" s="23"/>
      <c r="W82" s="23"/>
    </row>
    <row r="83" spans="2:23" x14ac:dyDescent="0.2">
      <c r="B83" s="37" t="s">
        <v>150</v>
      </c>
      <c r="C83" s="37"/>
      <c r="D83" s="37"/>
      <c r="E83" s="37"/>
      <c r="F83" s="37"/>
      <c r="G83" s="184"/>
      <c r="H83" s="184"/>
      <c r="I83" s="184"/>
      <c r="J83" s="184"/>
      <c r="K83" s="184">
        <f t="shared" ref="K83:W83" si="29">IF(K57&lt;J57,0,1)</f>
        <v>1</v>
      </c>
      <c r="L83" s="184">
        <f t="shared" si="29"/>
        <v>1</v>
      </c>
      <c r="M83" s="184">
        <f t="shared" si="29"/>
        <v>1</v>
      </c>
      <c r="N83" s="184">
        <f t="shared" si="29"/>
        <v>1</v>
      </c>
      <c r="O83" s="184">
        <f t="shared" si="29"/>
        <v>1</v>
      </c>
      <c r="P83" s="184">
        <f t="shared" si="29"/>
        <v>1</v>
      </c>
      <c r="Q83" s="184">
        <f t="shared" si="29"/>
        <v>1</v>
      </c>
      <c r="R83" s="184">
        <f t="shared" si="29"/>
        <v>1</v>
      </c>
      <c r="S83" s="184">
        <f t="shared" si="29"/>
        <v>1</v>
      </c>
      <c r="T83" s="184">
        <f t="shared" si="29"/>
        <v>1</v>
      </c>
      <c r="U83" s="63">
        <f t="shared" si="29"/>
        <v>1</v>
      </c>
      <c r="V83" s="63">
        <f t="shared" si="29"/>
        <v>1</v>
      </c>
      <c r="W83" s="63">
        <f t="shared" si="29"/>
        <v>1</v>
      </c>
    </row>
    <row r="84" spans="2:23" x14ac:dyDescent="0.2">
      <c r="B84" s="62"/>
      <c r="C84" s="62"/>
      <c r="D84" s="63"/>
      <c r="E84" s="23"/>
      <c r="F84" s="23"/>
      <c r="G84" s="23"/>
      <c r="H84" s="23"/>
      <c r="I84" s="23"/>
      <c r="J84" s="23"/>
      <c r="K84" s="23"/>
      <c r="L84" s="23"/>
      <c r="M84" s="23"/>
      <c r="N84" s="23"/>
      <c r="O84" s="23"/>
      <c r="P84" s="23"/>
      <c r="Q84" s="23"/>
      <c r="R84" s="23"/>
      <c r="S84" s="23"/>
      <c r="T84" s="23"/>
      <c r="U84" s="23"/>
      <c r="V84" s="23"/>
      <c r="W84" s="23"/>
    </row>
    <row r="85" spans="2:23" s="72" customFormat="1" ht="12.75" outlineLevel="1" x14ac:dyDescent="0.2">
      <c r="B85" s="73" t="s">
        <v>96</v>
      </c>
      <c r="C85" s="74"/>
      <c r="E85" s="75"/>
      <c r="F85" s="74"/>
    </row>
    <row r="86" spans="2:23" x14ac:dyDescent="0.2">
      <c r="C86" s="23"/>
      <c r="D86" s="23"/>
      <c r="E86" s="23"/>
      <c r="F86" s="23"/>
      <c r="G86" s="23"/>
      <c r="H86" s="23"/>
      <c r="I86" s="23"/>
      <c r="J86" s="23"/>
      <c r="K86" s="23"/>
      <c r="L86" s="23"/>
      <c r="M86" s="23"/>
      <c r="N86" s="23"/>
      <c r="O86" s="23"/>
      <c r="P86" s="23"/>
      <c r="Q86" s="23"/>
      <c r="R86" s="23"/>
      <c r="S86" s="23"/>
      <c r="T86" s="23"/>
      <c r="U86" s="23"/>
      <c r="V86" s="23"/>
      <c r="W86" s="23"/>
    </row>
    <row r="87" spans="2:23" x14ac:dyDescent="0.2">
      <c r="B87" s="15" t="s">
        <v>97</v>
      </c>
      <c r="D87" s="18">
        <f t="shared" ref="D87:W87" si="30">IF((D92-C92*D43/((1+D24/100)*(1+D42/100)))&gt;0,1,0)</f>
        <v>1</v>
      </c>
      <c r="E87" s="18">
        <f t="shared" si="30"/>
        <v>1</v>
      </c>
      <c r="F87" s="18">
        <f t="shared" si="30"/>
        <v>1</v>
      </c>
      <c r="G87" s="18">
        <f t="shared" si="30"/>
        <v>1</v>
      </c>
      <c r="H87" s="18">
        <f t="shared" si="30"/>
        <v>1</v>
      </c>
      <c r="I87" s="18">
        <f t="shared" si="30"/>
        <v>1</v>
      </c>
      <c r="J87" s="18">
        <f t="shared" si="30"/>
        <v>1</v>
      </c>
      <c r="K87" s="18">
        <f t="shared" si="30"/>
        <v>1</v>
      </c>
      <c r="L87" s="18">
        <f t="shared" si="30"/>
        <v>1</v>
      </c>
      <c r="M87" s="18">
        <f t="shared" si="30"/>
        <v>1</v>
      </c>
      <c r="N87" s="18">
        <f t="shared" si="30"/>
        <v>1</v>
      </c>
      <c r="O87" s="18">
        <f t="shared" si="30"/>
        <v>1</v>
      </c>
      <c r="P87" s="18">
        <f t="shared" si="30"/>
        <v>1</v>
      </c>
      <c r="Q87" s="18">
        <f t="shared" si="30"/>
        <v>1</v>
      </c>
      <c r="R87" s="18">
        <f t="shared" si="30"/>
        <v>1</v>
      </c>
      <c r="S87" s="18">
        <f t="shared" si="30"/>
        <v>1</v>
      </c>
      <c r="T87" s="18">
        <f t="shared" si="30"/>
        <v>1</v>
      </c>
      <c r="U87" s="18">
        <f t="shared" si="30"/>
        <v>1</v>
      </c>
      <c r="V87" s="18">
        <f t="shared" si="30"/>
        <v>1</v>
      </c>
      <c r="W87" s="18">
        <f t="shared" si="30"/>
        <v>1</v>
      </c>
    </row>
    <row r="88" spans="2:23" x14ac:dyDescent="0.2">
      <c r="B88" s="15" t="s">
        <v>98</v>
      </c>
      <c r="D88" s="18">
        <f t="shared" ref="D88:W88" si="31">IF(AND(D87=0,ABS(D92-C92*D43/((1+D24/100)*(1+D42/100)))&lt;((C98*C92*D43/((1+D24/100)*(1+D42/100))+(D39*C92*C99*D43/((1+D24/100)*(1+D42/100)))))),1,0)</f>
        <v>0</v>
      </c>
      <c r="E88" s="18">
        <f t="shared" si="31"/>
        <v>0</v>
      </c>
      <c r="F88" s="18">
        <f t="shared" si="31"/>
        <v>0</v>
      </c>
      <c r="G88" s="18">
        <f t="shared" si="31"/>
        <v>0</v>
      </c>
      <c r="H88" s="18">
        <f t="shared" si="31"/>
        <v>0</v>
      </c>
      <c r="I88" s="18">
        <f t="shared" si="31"/>
        <v>0</v>
      </c>
      <c r="J88" s="18">
        <f t="shared" si="31"/>
        <v>0</v>
      </c>
      <c r="K88" s="18">
        <f t="shared" si="31"/>
        <v>0</v>
      </c>
      <c r="L88" s="18">
        <f t="shared" si="31"/>
        <v>0</v>
      </c>
      <c r="M88" s="18">
        <f t="shared" si="31"/>
        <v>0</v>
      </c>
      <c r="N88" s="18">
        <f t="shared" si="31"/>
        <v>0</v>
      </c>
      <c r="O88" s="18">
        <f t="shared" si="31"/>
        <v>0</v>
      </c>
      <c r="P88" s="18">
        <f t="shared" si="31"/>
        <v>0</v>
      </c>
      <c r="Q88" s="18">
        <f t="shared" si="31"/>
        <v>0</v>
      </c>
      <c r="R88" s="18">
        <f t="shared" si="31"/>
        <v>0</v>
      </c>
      <c r="S88" s="18">
        <f t="shared" si="31"/>
        <v>0</v>
      </c>
      <c r="T88" s="18">
        <f t="shared" si="31"/>
        <v>0</v>
      </c>
      <c r="U88" s="18">
        <f t="shared" si="31"/>
        <v>0</v>
      </c>
      <c r="V88" s="18">
        <f t="shared" si="31"/>
        <v>0</v>
      </c>
      <c r="W88" s="18">
        <f t="shared" si="31"/>
        <v>0</v>
      </c>
    </row>
    <row r="90" spans="2:23" x14ac:dyDescent="0.2">
      <c r="H90" s="27"/>
      <c r="I90" s="27"/>
      <c r="J90" s="27"/>
      <c r="K90" s="27"/>
      <c r="L90" s="27"/>
      <c r="M90" s="27"/>
      <c r="N90" s="27"/>
      <c r="O90" s="27"/>
      <c r="P90" s="27"/>
      <c r="Q90" s="27"/>
      <c r="R90" s="27"/>
      <c r="S90" s="27"/>
      <c r="T90" s="27"/>
    </row>
    <row r="91" spans="2:23" x14ac:dyDescent="0.2">
      <c r="B91" s="37"/>
      <c r="C91" s="67">
        <v>2021</v>
      </c>
      <c r="D91" s="67">
        <v>2022</v>
      </c>
      <c r="E91" s="67">
        <v>2023</v>
      </c>
      <c r="F91" s="67">
        <v>2024</v>
      </c>
      <c r="G91" s="67">
        <v>2025</v>
      </c>
      <c r="H91" s="67">
        <v>2026</v>
      </c>
      <c r="I91" s="67">
        <v>2027</v>
      </c>
      <c r="J91" s="67">
        <v>2028</v>
      </c>
      <c r="K91" s="67">
        <v>2029</v>
      </c>
      <c r="L91" s="67">
        <v>2030</v>
      </c>
      <c r="M91" s="67">
        <v>2031</v>
      </c>
      <c r="N91" s="67">
        <v>2032</v>
      </c>
      <c r="O91" s="67">
        <v>2033</v>
      </c>
      <c r="P91" s="67">
        <v>2034</v>
      </c>
      <c r="Q91" s="67">
        <v>2035</v>
      </c>
      <c r="R91" s="67">
        <v>2036</v>
      </c>
      <c r="S91" s="67">
        <v>2037</v>
      </c>
      <c r="T91" s="67">
        <v>2038</v>
      </c>
      <c r="U91" s="67">
        <v>2039</v>
      </c>
      <c r="V91" s="67">
        <v>2040</v>
      </c>
      <c r="W91" s="67">
        <v>2041</v>
      </c>
    </row>
    <row r="92" spans="2:23" x14ac:dyDescent="0.2">
      <c r="B92" s="84" t="s">
        <v>76</v>
      </c>
      <c r="C92" s="88">
        <f>C57</f>
        <v>51.650089999999999</v>
      </c>
      <c r="D92" s="88">
        <f>D57</f>
        <v>50.132855552279821</v>
      </c>
      <c r="E92" s="88">
        <f>E57</f>
        <v>46.482690336671389</v>
      </c>
      <c r="F92" s="88">
        <f>F57</f>
        <v>47.061224448752846</v>
      </c>
      <c r="G92" s="88">
        <f>G57</f>
        <v>48.402599148872696</v>
      </c>
      <c r="H92" s="88">
        <f t="shared" ref="H92:W92" si="32">G92*(1+H106/100)*H43-H60-H61+H62+H63+H64+H65+H66+H72</f>
        <v>48.438526378096554</v>
      </c>
      <c r="I92" s="88">
        <f t="shared" si="32"/>
        <v>48.244783647846042</v>
      </c>
      <c r="J92" s="88">
        <f t="shared" si="32"/>
        <v>48.080120326750361</v>
      </c>
      <c r="K92" s="88">
        <f t="shared" si="32"/>
        <v>48.250854371176644</v>
      </c>
      <c r="L92" s="88">
        <f t="shared" si="32"/>
        <v>48.646228475439599</v>
      </c>
      <c r="M92" s="88">
        <f t="shared" si="32"/>
        <v>49.287799730189867</v>
      </c>
      <c r="N92" s="88">
        <f t="shared" si="32"/>
        <v>50.162177262191697</v>
      </c>
      <c r="O92" s="88">
        <f t="shared" si="32"/>
        <v>51.20854688970411</v>
      </c>
      <c r="P92" s="88">
        <f t="shared" si="32"/>
        <v>52.441071550742734</v>
      </c>
      <c r="Q92" s="88">
        <f t="shared" si="32"/>
        <v>53.833503749210344</v>
      </c>
      <c r="R92" s="88">
        <f t="shared" si="32"/>
        <v>55.411476568297743</v>
      </c>
      <c r="S92" s="88">
        <f t="shared" si="32"/>
        <v>57.13980846897357</v>
      </c>
      <c r="T92" s="88">
        <f t="shared" si="32"/>
        <v>58.987644442506138</v>
      </c>
      <c r="U92" s="88">
        <f t="shared" si="32"/>
        <v>60.924863663676092</v>
      </c>
      <c r="V92" s="88">
        <f t="shared" si="32"/>
        <v>62.934597626211755</v>
      </c>
      <c r="W92" s="88">
        <f t="shared" si="32"/>
        <v>65.046566157525319</v>
      </c>
    </row>
    <row r="93" spans="2:23" x14ac:dyDescent="0.2">
      <c r="B93" s="15" t="s">
        <v>99</v>
      </c>
      <c r="C93" s="23"/>
      <c r="D93" s="181">
        <f>'Input data'!C66*$D$92</f>
        <v>39.329266510759851</v>
      </c>
      <c r="E93" s="23">
        <f t="shared" ref="E93:W93" si="33">IF(E92=0,0,IF(E87=1,D92*E43/((1+E24/100)*(1+E42/100))-E94-E95,IF(AND(E87=0,E88=1),(1-D98-E39*D99)*D92*E43/((1+E24/100)*(1+E42/100)),E92)))</f>
        <v>38.964118820558589</v>
      </c>
      <c r="F93" s="23">
        <f t="shared" si="33"/>
        <v>37.312197728032551</v>
      </c>
      <c r="G93" s="23">
        <f t="shared" si="33"/>
        <v>38.021372011051291</v>
      </c>
      <c r="H93" s="23">
        <f t="shared" si="33"/>
        <v>38.899051662447</v>
      </c>
      <c r="I93" s="23">
        <f t="shared" si="33"/>
        <v>38.934743565947329</v>
      </c>
      <c r="J93" s="23">
        <f t="shared" si="33"/>
        <v>38.862319034219489</v>
      </c>
      <c r="K93" s="23">
        <f t="shared" si="33"/>
        <v>38.792514516659743</v>
      </c>
      <c r="L93" s="23">
        <f t="shared" si="33"/>
        <v>38.892107959037446</v>
      </c>
      <c r="M93" s="23">
        <f t="shared" si="33"/>
        <v>39.174054517641324</v>
      </c>
      <c r="N93" s="23">
        <f t="shared" si="33"/>
        <v>39.648292440449609</v>
      </c>
      <c r="O93" s="23">
        <f t="shared" si="33"/>
        <v>40.294380281848127</v>
      </c>
      <c r="P93" s="23">
        <f t="shared" si="33"/>
        <v>41.129994194189472</v>
      </c>
      <c r="Q93" s="23">
        <f t="shared" si="33"/>
        <v>42.114924263420924</v>
      </c>
      <c r="R93" s="23">
        <f t="shared" si="33"/>
        <v>43.228126457105873</v>
      </c>
      <c r="S93" s="23">
        <f t="shared" si="33"/>
        <v>44.45397775048788</v>
      </c>
      <c r="T93" s="23">
        <f t="shared" si="33"/>
        <v>45.799943509706821</v>
      </c>
      <c r="U93" s="23">
        <f t="shared" si="33"/>
        <v>47.213396483252083</v>
      </c>
      <c r="V93" s="23">
        <f t="shared" si="33"/>
        <v>48.693107312652813</v>
      </c>
      <c r="W93" s="23">
        <f t="shared" si="33"/>
        <v>50.282381477747123</v>
      </c>
    </row>
    <row r="94" spans="2:23" x14ac:dyDescent="0.2">
      <c r="B94" s="83" t="s">
        <v>100</v>
      </c>
      <c r="C94" s="23"/>
      <c r="D94" s="181">
        <f>'Input data'!C67*$D$92</f>
        <v>3.8609486574617775</v>
      </c>
      <c r="E94" s="23">
        <f t="shared" ref="E94:W94" si="34">IF(E92=0,0,IF(E87=1,E39*D92*D99*E43/((1+E24/100)*(1+E42/100)),IF(AND(E87=0,E88=1),(E39*D92*D99*E43/((1+E24/100)*(1+E42/100)))*(1-ABS(E92-D92*E43/((1+E24/100)*(1+E42/100)))/((E39*D92*D99*E43/((1+E24/100)*(1+E42/100)))+(D98*D92*E43/((1+E24/100)*(1+E42/100))))),0)))</f>
        <v>3.8213719927815011</v>
      </c>
      <c r="F94" s="23">
        <f t="shared" si="34"/>
        <v>3.6353337164228705</v>
      </c>
      <c r="G94" s="23">
        <f t="shared" si="34"/>
        <v>3.738455376011955</v>
      </c>
      <c r="H94" s="23">
        <f t="shared" si="34"/>
        <v>3.8596222998565448</v>
      </c>
      <c r="I94" s="23">
        <f t="shared" si="34"/>
        <v>3.8981216939201846</v>
      </c>
      <c r="J94" s="23">
        <f t="shared" si="34"/>
        <v>3.9258206074643032</v>
      </c>
      <c r="K94" s="23">
        <f t="shared" si="34"/>
        <v>3.9537133668166997</v>
      </c>
      <c r="L94" s="23">
        <f t="shared" si="34"/>
        <v>3.9989552873138976</v>
      </c>
      <c r="M94" s="23">
        <f t="shared" si="34"/>
        <v>4.0633492631267831</v>
      </c>
      <c r="N94" s="23">
        <f t="shared" si="34"/>
        <v>4.1484309431658923</v>
      </c>
      <c r="O94" s="23">
        <f t="shared" si="34"/>
        <v>4.2525674528150574</v>
      </c>
      <c r="P94" s="23">
        <f t="shared" si="34"/>
        <v>4.3407560414442026</v>
      </c>
      <c r="Q94" s="23">
        <f t="shared" si="34"/>
        <v>4.4447030813642927</v>
      </c>
      <c r="R94" s="23">
        <f t="shared" si="34"/>
        <v>4.5621876383708564</v>
      </c>
      <c r="S94" s="23">
        <f t="shared" si="34"/>
        <v>4.6915608977624634</v>
      </c>
      <c r="T94" s="23">
        <f t="shared" si="34"/>
        <v>4.8336107354872651</v>
      </c>
      <c r="U94" s="23">
        <f t="shared" si="34"/>
        <v>4.9827830039112815</v>
      </c>
      <c r="V94" s="23">
        <f t="shared" si="34"/>
        <v>5.1389479596364405</v>
      </c>
      <c r="W94" s="23">
        <f t="shared" si="34"/>
        <v>5.3066759539822046</v>
      </c>
    </row>
    <row r="95" spans="2:23" x14ac:dyDescent="0.2">
      <c r="B95" s="83" t="s">
        <v>101</v>
      </c>
      <c r="C95" s="23"/>
      <c r="D95" s="181">
        <f>'Input data'!C68*$D$92</f>
        <v>3.7201656699518564</v>
      </c>
      <c r="E95" s="23">
        <f t="shared" ref="E95:W95" si="35">IF(E92=0,0,IF(E87=1,(1-D99)*D92*E43/((1+E24/100)*(1+E42/100)),IF(AND(E87=0,E88=1),(D98*D92*E43/((1+E24/100)*(1+E42/100)))*(1-ABS(E92-D92*E43/((1+E24/100)*(1+E42/100)))/((E39*D92*D99*E43/((1+E24/100)*(1+E42/100)))+(D98*D92*E43/((1+E24/100)*(1+E42/100))))),0)))</f>
        <v>3.6853038352380172</v>
      </c>
      <c r="F95" s="23">
        <f t="shared" si="35"/>
        <v>3.527028798127084</v>
      </c>
      <c r="G95" s="23">
        <f t="shared" si="35"/>
        <v>3.6049999424641177</v>
      </c>
      <c r="H95" s="23">
        <f t="shared" si="35"/>
        <v>3.700073980193415</v>
      </c>
      <c r="I95" s="23">
        <f t="shared" si="35"/>
        <v>3.7119047418953848</v>
      </c>
      <c r="J95" s="23">
        <f t="shared" si="35"/>
        <v>3.712499196521466</v>
      </c>
      <c r="K95" s="23">
        <f t="shared" si="35"/>
        <v>3.7128803314717915</v>
      </c>
      <c r="L95" s="23">
        <f t="shared" si="35"/>
        <v>3.7298684168919904</v>
      </c>
      <c r="M95" s="23">
        <f t="shared" si="35"/>
        <v>3.7647844825162635</v>
      </c>
      <c r="N95" s="23">
        <f t="shared" si="35"/>
        <v>3.8186746269043437</v>
      </c>
      <c r="O95" s="23">
        <f t="shared" si="35"/>
        <v>3.8895989019473372</v>
      </c>
      <c r="P95" s="23">
        <f t="shared" si="35"/>
        <v>3.9759553625551569</v>
      </c>
      <c r="Q95" s="23">
        <f t="shared" si="35"/>
        <v>4.0769861051224243</v>
      </c>
      <c r="R95" s="23">
        <f t="shared" si="35"/>
        <v>4.1906099711276905</v>
      </c>
      <c r="S95" s="23">
        <f t="shared" si="35"/>
        <v>4.3153558234734239</v>
      </c>
      <c r="T95" s="23">
        <f t="shared" si="35"/>
        <v>4.4519562301683528</v>
      </c>
      <c r="U95" s="23">
        <f t="shared" si="35"/>
        <v>4.5952388538418427</v>
      </c>
      <c r="V95" s="23">
        <f t="shared" si="35"/>
        <v>4.7450757436408733</v>
      </c>
      <c r="W95" s="23">
        <f t="shared" si="35"/>
        <v>4.90566461143219</v>
      </c>
    </row>
    <row r="96" spans="2:23" x14ac:dyDescent="0.2">
      <c r="B96" s="83" t="s">
        <v>102</v>
      </c>
      <c r="C96" s="23"/>
      <c r="D96" s="181">
        <f>'Input data'!C69*$D$92</f>
        <v>2.9669217367786547</v>
      </c>
      <c r="E96" s="23">
        <f>IF(E92=0,0,IF(E87=1,'Input data'!$C$58*(E92-D92*E43/((1+E24/100)*(1+E42/100))),0))</f>
        <v>1.0917151169866962E-2</v>
      </c>
      <c r="F96" s="23">
        <f>IF(F92=0,0,IF(F87=1,'Input data'!$C$58*(F92-E92*F43/((1+F24/100)*(1+F42/100))),0))</f>
        <v>2.3738857259036092</v>
      </c>
      <c r="G96" s="23">
        <f>IF(G92=0,0,IF(G87=1,'Input data'!$C$58*(G92-F92*G43/((1+G24/100)*(1+G42/100))),0))</f>
        <v>2.7878853170403475</v>
      </c>
      <c r="H96" s="23">
        <f>IF(H92=0,0,IF(H87=1,'Input data'!$C$58*(H92-G92*H43/((1+H24/100)*(1+H42/100))),0))</f>
        <v>1.8169222574428563</v>
      </c>
      <c r="I96" s="23">
        <f>IF(I92=0,0,IF(I87=1,'Input data'!$C$58*(I92-H92*I43/((1+I24/100)*(1+I42/100))),0))</f>
        <v>1.5601708635590792</v>
      </c>
      <c r="J96" s="23">
        <f>IF(J92=0,0,IF(J87=1,'Input data'!$C$58*(J92-I92*J43/((1+J24/100)*(1+J42/100))),0))</f>
        <v>1.4495536571936833</v>
      </c>
      <c r="K96" s="23">
        <f>IF(K92=0,0,IF(K87=1,'Input data'!$C$58*(K92-J92*K43/((1+K24/100)*(1+K42/100))),0))</f>
        <v>1.6443574757662887</v>
      </c>
      <c r="L96" s="23">
        <f>IF(L92=0,0,IF(L87=1,'Input data'!$C$58*(L92-K92*L43/((1+L24/100)*(1+L42/100))),0))</f>
        <v>1.8586963014843643</v>
      </c>
      <c r="M96" s="23">
        <f>IF(M92=0,0,IF(M87=1,'Input data'!$C$58*(M92-L92*M43/((1+M24/100)*(1+M42/100))),0))</f>
        <v>2.0975975247601473</v>
      </c>
      <c r="N96" s="23">
        <f>IF(N92=0,0,IF(N87=1,'Input data'!$C$58*(N92-M92*N43/((1+N24/100)*(1+N42/100))),0))</f>
        <v>2.3372816997851742</v>
      </c>
      <c r="O96" s="23">
        <f>IF(O92=0,0,IF(O87=1,'Input data'!$C$58*(O92-N92*O43/((1+O24/100)*(1+O42/100))),0))</f>
        <v>2.5439760666741593</v>
      </c>
      <c r="P96" s="23">
        <f>IF(P92=0,0,IF(P87=1,'Input data'!$C$58*(P92-O92*P43/((1+P24/100)*(1+P42/100))),0))</f>
        <v>2.7480500081700123</v>
      </c>
      <c r="Q96" s="23">
        <f>IF(Q92=0,0,IF(Q87=1,'Input data'!$C$58*(Q92-P92*Q43/((1+Q24/100)*(1+Q42/100))),0))</f>
        <v>2.9339147426601211</v>
      </c>
      <c r="R96" s="23">
        <f>IF(R92=0,0,IF(R87=1,'Input data'!$C$58*(R92-Q92*R43/((1+R24/100)*(1+R42/100))),0))</f>
        <v>3.1483559390145279</v>
      </c>
      <c r="S96" s="23">
        <f>IF(S92=0,0,IF(S87=1,'Input data'!$C$58*(S92-R92*S43/((1+S24/100)*(1+S42/100))),0))</f>
        <v>3.3762872676188316</v>
      </c>
      <c r="T96" s="23">
        <f>IF(T92=0,0,IF(T87=1,'Input data'!$C$58*(T92-S92*T43/((1+T24/100)*(1+T42/100))),0))</f>
        <v>3.5811452074332504</v>
      </c>
      <c r="U96" s="23">
        <f>IF(U92=0,0,IF(U87=1,'Input data'!$C$58*(U92-T92*U43/((1+U24/100)*(1+U42/100))),0))</f>
        <v>3.7934289371170449</v>
      </c>
      <c r="V96" s="23">
        <f>IF(V92=0,0,IF(V87=1,'Input data'!$C$58*(V92-U92*V43/((1+V24/100)*(1+V42/100))),0))</f>
        <v>3.9990222784131819</v>
      </c>
      <c r="W96" s="23">
        <f>IF(W92=0,0,IF(W87=1,'Input data'!$C$58*(W92-V92*W43/((1+W24/100)*(1+W42/100))),0))</f>
        <v>4.1774103278850525</v>
      </c>
    </row>
    <row r="97" spans="2:25" x14ac:dyDescent="0.2">
      <c r="B97" s="85" t="s">
        <v>103</v>
      </c>
      <c r="C97" s="35"/>
      <c r="D97" s="182">
        <f>'Input data'!C70*$D$92</f>
        <v>0.25555417732757374</v>
      </c>
      <c r="E97" s="35">
        <f>IF(E92=0,0,IF(E87=1,'Input data'!$C$57*(E92-D92*E43/((1+E24/100)*(1+E42/100))),0))</f>
        <v>9.7853692341582331E-4</v>
      </c>
      <c r="F97" s="35">
        <f>IF(F92=0,0,IF(F87=1,'Input data'!$C$57*(F92-E92*F43/((1+F24/100)*(1+F42/100))),0))</f>
        <v>0.21277848026673093</v>
      </c>
      <c r="G97" s="35">
        <f>IF(G92=0,0,IF(G87=1,'Input data'!$C$57*(G92-F92*G43/((1+G24/100)*(1+G42/100))),0))</f>
        <v>0.24988650230498299</v>
      </c>
      <c r="H97" s="35">
        <f>IF(H92=0,0,IF(H87=1,'Input data'!$C$57*(H92-G92*H43/((1+H24/100)*(1+H42/100))),0))</f>
        <v>0.16285617815673528</v>
      </c>
      <c r="I97" s="35">
        <f>IF(I92=0,0,IF(I87=1,'Input data'!$C$57*(I92-H92*I43/((1+I24/100)*(1+I42/100))),0))</f>
        <v>0.13984278252407067</v>
      </c>
      <c r="J97" s="35">
        <f>IF(J92=0,0,IF(J87=1,'Input data'!$C$57*(J92-I92*J43/((1+J24/100)*(1+J42/100))),0))</f>
        <v>0.12992783135142272</v>
      </c>
      <c r="K97" s="35">
        <f>IF(K92=0,0,IF(K87=1,'Input data'!$C$57*(K92-J92*K43/((1+K24/100)*(1+K42/100))),0))</f>
        <v>0.14738868046211742</v>
      </c>
      <c r="L97" s="35">
        <f>IF(L92=0,0,IF(L87=1,'Input data'!$C$57*(L92-K92*L43/((1+L24/100)*(1+L42/100))),0))</f>
        <v>0.16660051071190243</v>
      </c>
      <c r="M97" s="35">
        <f>IF(M92=0,0,IF(M87=1,'Input data'!$C$57*(M92-L92*M43/((1+M24/100)*(1+M42/100))),0))</f>
        <v>0.18801394214535305</v>
      </c>
      <c r="N97" s="35">
        <f>IF(N92=0,0,IF(N87=1,'Input data'!$C$57*(N92-M92*N43/((1+N24/100)*(1+N42/100))),0))</f>
        <v>0.20949755188667607</v>
      </c>
      <c r="O97" s="35">
        <f>IF(O92=0,0,IF(O87=1,'Input data'!$C$57*(O92-N92*O43/((1+O24/100)*(1+O42/100))),0))</f>
        <v>0.22802418641942784</v>
      </c>
      <c r="P97" s="35">
        <f>IF(P92=0,0,IF(P87=1,'Input data'!$C$57*(P92-O92*P43/((1+P24/100)*(1+P42/100))),0))</f>
        <v>0.24631594438389379</v>
      </c>
      <c r="Q97" s="35">
        <f>IF(Q92=0,0,IF(Q87=1,'Input data'!$C$57*(Q92-P92*Q43/((1+Q24/100)*(1+Q42/100))),0))</f>
        <v>0.26297555664258032</v>
      </c>
      <c r="R97" s="35">
        <f>IF(R92=0,0,IF(R87=1,'Input data'!$C$57*(R92-Q92*R43/((1+R24/100)*(1+R42/100))),0))</f>
        <v>0.28219656267879217</v>
      </c>
      <c r="S97" s="35">
        <f>IF(S92=0,0,IF(S87=1,'Input data'!$C$57*(S92-R92*S43/((1+S24/100)*(1+S42/100))),0))</f>
        <v>0.30262672963096915</v>
      </c>
      <c r="T97" s="35">
        <f>IF(T92=0,0,IF(T87=1,'Input data'!$C$57*(T92-S92*T43/((1+T24/100)*(1+T42/100))),0))</f>
        <v>0.3209887597104471</v>
      </c>
      <c r="U97" s="35">
        <f>IF(U92=0,0,IF(U87=1,'Input data'!$C$57*(U92-T92*U43/((1+U24/100)*(1+U42/100))),0))</f>
        <v>0.34001638555384261</v>
      </c>
      <c r="V97" s="35">
        <f>IF(V92=0,0,IF(V87=1,'Input data'!$C$57*(V92-U92*V43/((1+V24/100)*(1+V42/100))),0))</f>
        <v>0.35844433186844454</v>
      </c>
      <c r="W97" s="35">
        <f>IF(W92=0,0,IF(W87=1,'Input data'!$C$57*(W92-V92*W43/((1+W24/100)*(1+W42/100))),0))</f>
        <v>0.37443378647874292</v>
      </c>
    </row>
    <row r="98" spans="2:25" x14ac:dyDescent="0.2">
      <c r="B98" s="15" t="s">
        <v>51</v>
      </c>
      <c r="C98" s="25"/>
      <c r="D98" s="186">
        <f>'Baseline NFPC'!$D$93</f>
        <v>7.9303654329715201E-2</v>
      </c>
      <c r="E98" s="25">
        <f t="shared" ref="E98:W98" si="36">IF(E92&lt;&gt;0,(E95+E97)/(E93+E94+E95+E96+E97),0)</f>
        <v>7.9304410856211358E-2</v>
      </c>
      <c r="F98" s="25">
        <f t="shared" si="36"/>
        <v>7.9466850304038841E-2</v>
      </c>
      <c r="G98" s="25">
        <f t="shared" si="36"/>
        <v>7.9642137252021544E-2</v>
      </c>
      <c r="H98" s="25">
        <f t="shared" si="36"/>
        <v>7.9749126309030971E-2</v>
      </c>
      <c r="I98" s="25">
        <f t="shared" si="36"/>
        <v>7.9837595553015228E-2</v>
      </c>
      <c r="J98" s="25">
        <f t="shared" si="36"/>
        <v>7.9917167464638714E-2</v>
      </c>
      <c r="K98" s="25">
        <f t="shared" si="36"/>
        <v>8.0004158729257605E-2</v>
      </c>
      <c r="L98" s="25">
        <f t="shared" si="36"/>
        <v>8.0098068230944841E-2</v>
      </c>
      <c r="M98" s="25">
        <f t="shared" si="36"/>
        <v>8.0198313706433114E-2</v>
      </c>
      <c r="N98" s="25">
        <f t="shared" si="36"/>
        <v>8.0302977235941056E-2</v>
      </c>
      <c r="O98" s="25">
        <f t="shared" si="36"/>
        <v>8.0408903170705787E-2</v>
      </c>
      <c r="P98" s="25">
        <f t="shared" si="36"/>
        <v>8.0514588700833847E-2</v>
      </c>
      <c r="Q98" s="25">
        <f t="shared" si="36"/>
        <v>8.0618227674409265E-2</v>
      </c>
      <c r="R98" s="25">
        <f t="shared" si="36"/>
        <v>8.0719858246215456E-2</v>
      </c>
      <c r="S98" s="25">
        <f t="shared" si="36"/>
        <v>8.0819006518230069E-2</v>
      </c>
      <c r="T98" s="25">
        <f t="shared" si="36"/>
        <v>8.0914317481025649E-2</v>
      </c>
      <c r="U98" s="25">
        <f>IF(U92&lt;&gt;0,(U95+U97)/(U93+U94+U95+U96+U97),0)</f>
        <v>8.1005601697195506E-2</v>
      </c>
      <c r="V98" s="25">
        <f t="shared" si="36"/>
        <v>8.1092439898014734E-2</v>
      </c>
      <c r="W98" s="23">
        <f t="shared" si="36"/>
        <v>8.1174129701542627E-2</v>
      </c>
    </row>
    <row r="99" spans="2:25" x14ac:dyDescent="0.2">
      <c r="B99" s="24" t="s">
        <v>52</v>
      </c>
      <c r="C99" s="86"/>
      <c r="D99" s="187">
        <f>'Baseline NFPC'!$D$94</f>
        <v>0.9206963456702848</v>
      </c>
      <c r="E99" s="86">
        <f t="shared" ref="E99:W99" si="37">IF(E92&lt;&gt;0,(E93+E94+E96)/(E93+E94+E95+E96+E97),1)</f>
        <v>0.92069558914378868</v>
      </c>
      <c r="F99" s="86">
        <f t="shared" si="37"/>
        <v>0.92053314969596123</v>
      </c>
      <c r="G99" s="86">
        <f t="shared" si="37"/>
        <v>0.92035786274797848</v>
      </c>
      <c r="H99" s="86">
        <f t="shared" si="37"/>
        <v>0.92025087369096903</v>
      </c>
      <c r="I99" s="86">
        <f t="shared" si="37"/>
        <v>0.92016240444698472</v>
      </c>
      <c r="J99" s="86">
        <f t="shared" si="37"/>
        <v>0.92008283253536127</v>
      </c>
      <c r="K99" s="86">
        <f t="shared" si="37"/>
        <v>0.91999584127074241</v>
      </c>
      <c r="L99" s="86">
        <f t="shared" si="37"/>
        <v>0.91990193176905521</v>
      </c>
      <c r="M99" s="86">
        <f t="shared" si="37"/>
        <v>0.91980168629356684</v>
      </c>
      <c r="N99" s="86">
        <f t="shared" si="37"/>
        <v>0.91969702276405885</v>
      </c>
      <c r="O99" s="86">
        <f t="shared" si="37"/>
        <v>0.9195910968292943</v>
      </c>
      <c r="P99" s="86">
        <f t="shared" si="37"/>
        <v>0.91948541129916617</v>
      </c>
      <c r="Q99" s="86">
        <f t="shared" si="37"/>
        <v>0.91938177232559082</v>
      </c>
      <c r="R99" s="86">
        <f t="shared" si="37"/>
        <v>0.91928014175378459</v>
      </c>
      <c r="S99" s="86">
        <f t="shared" si="37"/>
        <v>0.91918099348176985</v>
      </c>
      <c r="T99" s="86">
        <f t="shared" si="37"/>
        <v>0.91908568251897427</v>
      </c>
      <c r="U99" s="86">
        <f t="shared" si="37"/>
        <v>0.91899439830280449</v>
      </c>
      <c r="V99" s="86">
        <f t="shared" si="37"/>
        <v>0.91890756010198515</v>
      </c>
      <c r="W99" s="35">
        <f t="shared" si="37"/>
        <v>0.91882587029845741</v>
      </c>
    </row>
    <row r="100" spans="2:25" x14ac:dyDescent="0.2">
      <c r="C100" s="27"/>
      <c r="D100" s="27"/>
      <c r="E100" s="27"/>
      <c r="F100" s="27"/>
      <c r="G100" s="27"/>
      <c r="H100" s="27"/>
      <c r="I100" s="27"/>
      <c r="J100" s="27"/>
      <c r="K100" s="27"/>
      <c r="L100" s="27"/>
      <c r="M100" s="27"/>
      <c r="N100" s="27"/>
      <c r="O100" s="27"/>
      <c r="P100" s="27"/>
      <c r="Q100" s="27"/>
      <c r="R100" s="27"/>
      <c r="S100" s="27"/>
      <c r="T100" s="27"/>
      <c r="U100" s="27"/>
      <c r="V100" s="27"/>
      <c r="W100" s="27"/>
    </row>
    <row r="101" spans="2:25" x14ac:dyDescent="0.2">
      <c r="B101" s="90" t="s">
        <v>104</v>
      </c>
      <c r="C101" s="92">
        <f>'Baseline NFPC'!C96</f>
        <v>1.082266</v>
      </c>
      <c r="D101" s="92">
        <f>'Baseline NFPC'!D96</f>
        <v>1.1515390000000001</v>
      </c>
      <c r="E101" s="92">
        <f>'Baseline NFPC'!E96</f>
        <v>1.3576170000000001</v>
      </c>
      <c r="F101" s="92">
        <f>'Baseline NFPC'!F96</f>
        <v>1.5744320000000001</v>
      </c>
      <c r="G101" s="92">
        <f>'Baseline NFPC'!G96</f>
        <v>1.603952</v>
      </c>
      <c r="H101" s="92">
        <f t="shared" ref="H101:W101" si="38">H103+H104</f>
        <v>1.7774600493041111</v>
      </c>
      <c r="I101" s="92">
        <f t="shared" si="38"/>
        <v>1.9068787269355749</v>
      </c>
      <c r="J101" s="92">
        <f>J103+J104</f>
        <v>2.0167109782312553</v>
      </c>
      <c r="K101" s="92">
        <f t="shared" si="38"/>
        <v>2.1127193249188929</v>
      </c>
      <c r="L101" s="92">
        <f t="shared" si="38"/>
        <v>2.2011495146745581</v>
      </c>
      <c r="M101" s="92">
        <f t="shared" si="38"/>
        <v>2.2822900452863868</v>
      </c>
      <c r="N101" s="92">
        <f t="shared" si="38"/>
        <v>2.3564645319633226</v>
      </c>
      <c r="O101" s="92">
        <f t="shared" si="38"/>
        <v>2.4237577777470087</v>
      </c>
      <c r="P101" s="92">
        <f t="shared" si="38"/>
        <v>2.4886298263802731</v>
      </c>
      <c r="Q101" s="92">
        <f t="shared" si="38"/>
        <v>2.5525490768930288</v>
      </c>
      <c r="R101" s="92">
        <f t="shared" si="38"/>
        <v>2.6153036664749534</v>
      </c>
      <c r="S101" s="92">
        <f t="shared" si="38"/>
        <v>2.677102448144105</v>
      </c>
      <c r="T101" s="92">
        <f t="shared" si="38"/>
        <v>2.7380119857658762</v>
      </c>
      <c r="U101" s="92">
        <f t="shared" si="38"/>
        <v>2.7978576362050043</v>
      </c>
      <c r="V101" s="92">
        <f t="shared" si="38"/>
        <v>2.8567430554401976</v>
      </c>
      <c r="W101" s="92">
        <f t="shared" si="38"/>
        <v>2.9146838963784374</v>
      </c>
    </row>
    <row r="102" spans="2:25" x14ac:dyDescent="0.2">
      <c r="B102" s="22" t="s">
        <v>105</v>
      </c>
      <c r="C102" s="23"/>
      <c r="D102" s="23"/>
      <c r="E102" s="191">
        <f>((E36*D92)-(E38*(D95+D97)))/(D93+D94+D96)</f>
        <v>1.1791133837474903</v>
      </c>
      <c r="F102" s="191">
        <f>((F36*E92)-(F38*(E95+E97)))/(E93+E94+E96)</f>
        <v>1.4030420039182605</v>
      </c>
      <c r="G102" s="191">
        <f>((G36*F92)-(G38*(F95+F97)))/(F93+F94+F96)</f>
        <v>1.499287179316469</v>
      </c>
      <c r="H102" s="23">
        <f t="shared" ref="H102:W102" si="39">IF(G92&gt;0,(G102*G93+H37*(G96+G94))/(G93+G94+G96),H37)</f>
        <v>1.6885352961033169</v>
      </c>
      <c r="I102" s="23">
        <f t="shared" si="39"/>
        <v>1.8300176255629537</v>
      </c>
      <c r="J102" s="23">
        <f t="shared" si="39"/>
        <v>1.9502659670464342</v>
      </c>
      <c r="K102" s="23">
        <f t="shared" si="39"/>
        <v>2.055521748972811</v>
      </c>
      <c r="L102" s="23">
        <f t="shared" si="39"/>
        <v>2.1525556942381345</v>
      </c>
      <c r="M102" s="23">
        <f t="shared" si="39"/>
        <v>2.2416819855726073</v>
      </c>
      <c r="N102" s="23">
        <f t="shared" si="39"/>
        <v>2.3232525605255301</v>
      </c>
      <c r="O102" s="23">
        <f t="shared" si="39"/>
        <v>2.3973597608345396</v>
      </c>
      <c r="P102" s="23">
        <f t="shared" si="39"/>
        <v>2.4710408054142197</v>
      </c>
      <c r="Q102" s="23">
        <f t="shared" si="39"/>
        <v>2.5437109896587136</v>
      </c>
      <c r="R102" s="23">
        <f t="shared" si="39"/>
        <v>2.6151394425104768</v>
      </c>
      <c r="S102" s="23">
        <f t="shared" si="39"/>
        <v>2.6855522207219642</v>
      </c>
      <c r="T102" s="23">
        <f t="shared" si="39"/>
        <v>2.7550205958947784</v>
      </c>
      <c r="U102" s="23">
        <f t="shared" si="39"/>
        <v>2.8233529222054043</v>
      </c>
      <c r="V102" s="23">
        <f t="shared" si="39"/>
        <v>2.8906602419810352</v>
      </c>
      <c r="W102" s="23">
        <f t="shared" si="39"/>
        <v>2.9569576840455118</v>
      </c>
    </row>
    <row r="103" spans="2:25" x14ac:dyDescent="0.2">
      <c r="B103" s="15" t="s">
        <v>106</v>
      </c>
      <c r="C103" s="23"/>
      <c r="D103" s="23"/>
      <c r="E103" s="23">
        <f t="shared" ref="E103:W103" si="40">(E102*(D93+D94+D96)+E38*(D95+D97))/D92</f>
        <v>1.3576170000000003</v>
      </c>
      <c r="F103" s="23">
        <f t="shared" si="40"/>
        <v>1.5744320000000001</v>
      </c>
      <c r="G103" s="23">
        <f t="shared" si="40"/>
        <v>1.603952</v>
      </c>
      <c r="H103" s="23">
        <f t="shared" si="40"/>
        <v>1.7774600493041111</v>
      </c>
      <c r="I103" s="23">
        <f t="shared" si="40"/>
        <v>1.9068787269355749</v>
      </c>
      <c r="J103" s="23">
        <f t="shared" si="40"/>
        <v>2.0167109782312553</v>
      </c>
      <c r="K103" s="23">
        <f t="shared" si="40"/>
        <v>2.1127193249188929</v>
      </c>
      <c r="L103" s="23">
        <f t="shared" si="40"/>
        <v>2.2011495146745581</v>
      </c>
      <c r="M103" s="23">
        <f t="shared" si="40"/>
        <v>2.2822900452863868</v>
      </c>
      <c r="N103" s="23">
        <f t="shared" si="40"/>
        <v>2.3564645319633226</v>
      </c>
      <c r="O103" s="23">
        <f t="shared" si="40"/>
        <v>2.4237577777470087</v>
      </c>
      <c r="P103" s="23">
        <f t="shared" si="40"/>
        <v>2.4886298263802731</v>
      </c>
      <c r="Q103" s="23">
        <f t="shared" si="40"/>
        <v>2.5525490768930288</v>
      </c>
      <c r="R103" s="23">
        <f t="shared" si="40"/>
        <v>2.6153036664749534</v>
      </c>
      <c r="S103" s="23">
        <f t="shared" si="40"/>
        <v>2.677102448144105</v>
      </c>
      <c r="T103" s="23">
        <f t="shared" si="40"/>
        <v>2.7380119857658762</v>
      </c>
      <c r="U103" s="23">
        <f t="shared" si="40"/>
        <v>2.7978576362050043</v>
      </c>
      <c r="V103" s="23">
        <f t="shared" si="40"/>
        <v>2.8567430554401976</v>
      </c>
      <c r="W103" s="23">
        <f t="shared" si="40"/>
        <v>2.9146838963784374</v>
      </c>
    </row>
    <row r="104" spans="2:25" x14ac:dyDescent="0.2">
      <c r="B104" s="24" t="s">
        <v>107</v>
      </c>
      <c r="C104" s="91"/>
      <c r="D104" s="91"/>
      <c r="E104" s="35">
        <f>IF('Criteria results'!$F$5=4,E115,E120)</f>
        <v>0</v>
      </c>
      <c r="F104" s="35">
        <f>IF('Criteria results'!$F$5=4,F115,F120)</f>
        <v>0</v>
      </c>
      <c r="G104" s="35">
        <f>IF('Criteria results'!$F$5=4,G115,G120)</f>
        <v>0</v>
      </c>
      <c r="H104" s="35">
        <f>IF('Criteria results'!$F$5=4,H115,H120)</f>
        <v>0</v>
      </c>
      <c r="I104" s="35">
        <f>IF('Criteria results'!$F$5=4,I115,I120)</f>
        <v>0</v>
      </c>
      <c r="J104" s="35">
        <f>IF('Criteria results'!$F$5=4,J115,J120)</f>
        <v>0</v>
      </c>
      <c r="K104" s="35">
        <f>IF('Criteria results'!$F$5=4,K115,K120)</f>
        <v>0</v>
      </c>
      <c r="L104" s="35">
        <f>IF('Criteria results'!$F$5=4,L115,L120)</f>
        <v>0</v>
      </c>
      <c r="M104" s="35">
        <f>IF('Criteria results'!$F$5=4,M115,M120)</f>
        <v>0</v>
      </c>
      <c r="N104" s="35">
        <f>IF('Criteria results'!$F$5=4,N115,N120)</f>
        <v>0</v>
      </c>
      <c r="O104" s="35">
        <f>IF('Criteria results'!$F$5=4,O115,O120)</f>
        <v>0</v>
      </c>
      <c r="P104" s="35">
        <f>IF('Criteria results'!$F$5=4,P115,P120)</f>
        <v>0</v>
      </c>
      <c r="Q104" s="35">
        <f>IF('Criteria results'!$F$5=4,Q115,Q120)</f>
        <v>0</v>
      </c>
      <c r="R104" s="35">
        <f>IF('Criteria results'!$F$5=4,R115,R120)</f>
        <v>0</v>
      </c>
      <c r="S104" s="35">
        <f>IF('Criteria results'!$F$5=4,S115,S120)</f>
        <v>0</v>
      </c>
      <c r="T104" s="35">
        <f>IF('Criteria results'!$F$5=4,T115,T120)</f>
        <v>0</v>
      </c>
      <c r="U104" s="35">
        <f>IF('Criteria results'!$F$5=4,U115,U120)</f>
        <v>0</v>
      </c>
      <c r="V104" s="35">
        <f>IF('Criteria results'!$F$5=4,V115,V120)</f>
        <v>0</v>
      </c>
      <c r="W104" s="35">
        <f>IF('Criteria results'!$F$5=4,W115,W120)</f>
        <v>0</v>
      </c>
    </row>
    <row r="105" spans="2:25" x14ac:dyDescent="0.2">
      <c r="C105" s="27"/>
      <c r="D105" s="27"/>
      <c r="E105" s="27"/>
      <c r="F105" s="27"/>
      <c r="G105" s="23"/>
      <c r="H105" s="23"/>
      <c r="I105" s="23"/>
      <c r="J105" s="23"/>
      <c r="K105" s="23"/>
      <c r="L105" s="23"/>
      <c r="M105" s="23"/>
      <c r="N105" s="23"/>
      <c r="O105" s="23"/>
      <c r="P105" s="23"/>
      <c r="Q105" s="23"/>
      <c r="R105" s="23"/>
      <c r="S105" s="23"/>
      <c r="T105" s="23"/>
      <c r="U105" s="23"/>
      <c r="V105" s="23"/>
      <c r="W105" s="23"/>
    </row>
    <row r="106" spans="2:25" x14ac:dyDescent="0.2">
      <c r="B106" s="90" t="s">
        <v>138</v>
      </c>
      <c r="C106" s="92">
        <f t="shared" ref="C106:W106" si="41">((1+C101/100)/((1+C24/100)*(1+C42/100))-1)*100</f>
        <v>-7.5163560887435477</v>
      </c>
      <c r="D106" s="92">
        <f t="shared" si="41"/>
        <v>-8.1307101305954088</v>
      </c>
      <c r="E106" s="92">
        <f t="shared" si="41"/>
        <v>-6.0462653924760907</v>
      </c>
      <c r="F106" s="92">
        <f t="shared" si="41"/>
        <v>-2.8137536280651743</v>
      </c>
      <c r="G106" s="92">
        <f t="shared" si="41"/>
        <v>-2.0585151918129818</v>
      </c>
      <c r="H106" s="92">
        <f t="shared" si="41"/>
        <v>-2.30992868554869</v>
      </c>
      <c r="I106" s="92">
        <f t="shared" si="41"/>
        <v>-2.0772804911834641</v>
      </c>
      <c r="J106" s="92">
        <f t="shared" si="41"/>
        <v>-1.6713958697149867</v>
      </c>
      <c r="K106" s="92">
        <f t="shared" si="41"/>
        <v>-1.3299915849090516</v>
      </c>
      <c r="L106" s="92">
        <f t="shared" si="41"/>
        <v>-1.2512240555303422</v>
      </c>
      <c r="M106" s="92">
        <f t="shared" si="41"/>
        <v>-1.1744259858582184</v>
      </c>
      <c r="N106" s="92">
        <f t="shared" si="41"/>
        <v>-1.1166287738785918</v>
      </c>
      <c r="O106" s="92">
        <f t="shared" si="41"/>
        <v>-1.0997251102576322</v>
      </c>
      <c r="P106" s="92">
        <f t="shared" si="41"/>
        <v>-1.0375139700422364</v>
      </c>
      <c r="Q106" s="92">
        <f t="shared" si="41"/>
        <v>-0.97620753449753073</v>
      </c>
      <c r="R106" s="92">
        <f t="shared" si="41"/>
        <v>-0.91601072804348149</v>
      </c>
      <c r="S106" s="92">
        <f t="shared" si="41"/>
        <v>-0.93731337628507605</v>
      </c>
      <c r="T106" s="92">
        <f t="shared" si="41"/>
        <v>-0.95563868519419337</v>
      </c>
      <c r="U106" s="92">
        <f t="shared" si="41"/>
        <v>-1.0295089293316129</v>
      </c>
      <c r="V106" s="92">
        <f t="shared" si="41"/>
        <v>-1.106829765093631</v>
      </c>
      <c r="W106" s="92">
        <f t="shared" si="41"/>
        <v>-1.0751568882955587</v>
      </c>
    </row>
    <row r="107" spans="2:25" x14ac:dyDescent="0.2">
      <c r="F107" s="23"/>
      <c r="G107" s="23"/>
      <c r="H107" s="23"/>
      <c r="I107" s="23"/>
      <c r="J107" s="23"/>
      <c r="K107" s="23"/>
      <c r="L107" s="23"/>
      <c r="M107" s="23"/>
      <c r="N107" s="23"/>
      <c r="O107" s="23"/>
      <c r="P107" s="23"/>
      <c r="Q107" s="23"/>
      <c r="R107" s="23"/>
      <c r="S107" s="23"/>
      <c r="T107" s="23"/>
      <c r="U107" s="23"/>
      <c r="V107" s="23"/>
      <c r="W107" s="23"/>
    </row>
    <row r="108" spans="2:25" x14ac:dyDescent="0.2">
      <c r="F108" s="23"/>
      <c r="G108" s="23"/>
      <c r="H108" s="180"/>
      <c r="I108" s="180"/>
      <c r="J108" s="180"/>
      <c r="K108" s="180"/>
      <c r="L108" s="180"/>
      <c r="M108" s="180"/>
      <c r="N108" s="180"/>
      <c r="O108" s="180"/>
      <c r="P108" s="180"/>
      <c r="Q108" s="180"/>
      <c r="R108" s="180"/>
      <c r="S108" s="180"/>
      <c r="T108" s="180"/>
      <c r="U108" s="23"/>
      <c r="V108" s="23"/>
      <c r="W108" s="23"/>
    </row>
    <row r="109" spans="2:25" x14ac:dyDescent="0.2">
      <c r="T109" s="47"/>
      <c r="U109" s="47"/>
      <c r="V109" s="47"/>
      <c r="W109" s="47"/>
      <c r="X109" s="47"/>
      <c r="Y109" s="47"/>
    </row>
    <row r="110" spans="2:25" s="14" customFormat="1" ht="12.75" outlineLevel="1" x14ac:dyDescent="0.2">
      <c r="B110" s="14" t="s">
        <v>108</v>
      </c>
      <c r="C110" s="89"/>
      <c r="D110" s="89"/>
      <c r="E110" s="89"/>
      <c r="F110" s="89"/>
      <c r="G110" s="89"/>
      <c r="H110" s="89"/>
      <c r="I110" s="89"/>
      <c r="J110" s="89"/>
      <c r="K110" s="89"/>
      <c r="L110" s="89"/>
      <c r="M110" s="89"/>
      <c r="N110" s="89"/>
      <c r="O110" s="89"/>
      <c r="P110" s="89"/>
      <c r="Q110" s="89"/>
      <c r="R110" s="89"/>
      <c r="S110" s="89"/>
      <c r="T110" s="89"/>
      <c r="U110" s="89"/>
      <c r="V110" s="89"/>
      <c r="W110" s="89"/>
    </row>
    <row r="111" spans="2:25" s="80" customFormat="1" ht="12.75" outlineLevel="1" x14ac:dyDescent="0.2">
      <c r="C111" s="99"/>
      <c r="D111" s="99"/>
      <c r="E111" s="99"/>
      <c r="F111" s="99"/>
      <c r="G111" s="99"/>
      <c r="H111" s="99"/>
      <c r="I111" s="99"/>
      <c r="J111" s="99"/>
      <c r="K111" s="99"/>
      <c r="L111" s="99"/>
      <c r="M111" s="99"/>
      <c r="N111" s="99"/>
      <c r="O111" s="99"/>
      <c r="P111" s="99"/>
      <c r="Q111" s="99"/>
      <c r="R111" s="99"/>
      <c r="S111" s="99"/>
      <c r="T111" s="99"/>
      <c r="U111" s="99"/>
      <c r="V111" s="99"/>
      <c r="W111" s="99"/>
    </row>
    <row r="112" spans="2:25" s="80" customFormat="1" ht="12.75" outlineLevel="1" x14ac:dyDescent="0.2">
      <c r="B112" s="84" t="s">
        <v>215</v>
      </c>
      <c r="C112" s="100"/>
      <c r="D112" s="100"/>
      <c r="E112" s="100"/>
      <c r="F112" s="100"/>
      <c r="G112" s="100"/>
      <c r="H112" s="26"/>
      <c r="I112" s="26"/>
      <c r="J112" s="26"/>
      <c r="K112" s="26"/>
      <c r="L112" s="26"/>
      <c r="M112" s="26"/>
      <c r="N112" s="26"/>
      <c r="O112" s="26"/>
      <c r="P112" s="26"/>
      <c r="Q112" s="26"/>
      <c r="R112" s="26"/>
      <c r="S112" s="26"/>
      <c r="T112" s="26"/>
      <c r="U112" s="100"/>
      <c r="V112" s="100"/>
      <c r="W112" s="100"/>
    </row>
    <row r="113" spans="1:51" outlineLevel="1" x14ac:dyDescent="0.2">
      <c r="B113" s="97" t="s">
        <v>21</v>
      </c>
      <c r="C113" s="23">
        <v>51.650093078613281</v>
      </c>
      <c r="D113" s="23">
        <v>50.132858276367188</v>
      </c>
      <c r="E113" s="23">
        <v>46.482692718505859</v>
      </c>
      <c r="F113" s="23">
        <v>47.061222076416016</v>
      </c>
      <c r="G113" s="23">
        <v>48.363491058349609</v>
      </c>
      <c r="H113" s="23">
        <v>48.21319580078125</v>
      </c>
      <c r="I113" s="23">
        <v>47.982151031494141</v>
      </c>
      <c r="J113" s="23">
        <v>47.580596923828125</v>
      </c>
      <c r="K113" s="23">
        <v>47.203197479248047</v>
      </c>
      <c r="L113" s="23">
        <v>46.91607666015625</v>
      </c>
      <c r="M113" s="23">
        <v>46.741191864013672</v>
      </c>
      <c r="N113" s="23">
        <v>46.91253662109375</v>
      </c>
      <c r="O113" s="23">
        <v>47.261959075927734</v>
      </c>
      <c r="P113" s="23">
        <v>47.801929473876953</v>
      </c>
      <c r="Q113" s="23">
        <v>48.505630493164063</v>
      </c>
      <c r="R113" s="23">
        <v>49.398113250732422</v>
      </c>
      <c r="S113" s="23">
        <v>50.448505401611328</v>
      </c>
      <c r="T113" s="23">
        <v>51.62615966796875</v>
      </c>
      <c r="U113" s="23">
        <v>52.905380249023438</v>
      </c>
      <c r="V113" s="23">
        <v>54.270549774169922</v>
      </c>
      <c r="W113" s="23">
        <v>55.742919921875</v>
      </c>
      <c r="X113" s="93"/>
      <c r="Y113" s="47"/>
    </row>
    <row r="114" spans="1:51" x14ac:dyDescent="0.2">
      <c r="B114" s="15" t="s">
        <v>104</v>
      </c>
      <c r="C114" s="1">
        <v>1.0822664499282837</v>
      </c>
      <c r="D114" s="1">
        <v>1.1515393257141113</v>
      </c>
      <c r="E114" s="1">
        <v>1.357616662979126</v>
      </c>
      <c r="F114" s="1">
        <v>1.574432373046875</v>
      </c>
      <c r="G114" s="1">
        <v>1.6039515733718872</v>
      </c>
      <c r="H114" s="1">
        <v>1.7752859592437744</v>
      </c>
      <c r="I114" s="1">
        <v>1.9007407426834106</v>
      </c>
      <c r="J114" s="1">
        <v>2.0079679489135742</v>
      </c>
      <c r="K114" s="1">
        <v>2.100555419921875</v>
      </c>
      <c r="L114" s="1">
        <v>2.1847188472747803</v>
      </c>
      <c r="M114" s="1">
        <v>2.2613043785095215</v>
      </c>
      <c r="N114" s="1">
        <v>2.3310947418212891</v>
      </c>
      <c r="O114" s="1">
        <v>2.3958144187927246</v>
      </c>
      <c r="P114" s="1">
        <v>2.459068775177002</v>
      </c>
      <c r="Q114" s="1">
        <v>2.522191047668457</v>
      </c>
      <c r="R114" s="1">
        <v>2.584822416305542</v>
      </c>
      <c r="S114" s="1">
        <v>2.6470942497253418</v>
      </c>
      <c r="T114" s="1">
        <v>2.7089734077453613</v>
      </c>
      <c r="U114" s="1">
        <v>2.770134449005127</v>
      </c>
      <c r="V114" s="1">
        <v>2.8305926322937012</v>
      </c>
      <c r="W114" s="1">
        <v>2.8902683258056641</v>
      </c>
      <c r="X114" s="9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5"/>
    </row>
    <row r="115" spans="1:51" x14ac:dyDescent="0.2">
      <c r="B115" s="15" t="s">
        <v>137</v>
      </c>
      <c r="C115" s="1"/>
      <c r="D115" s="1"/>
      <c r="E115" s="1">
        <v>0</v>
      </c>
      <c r="F115" s="1">
        <v>0</v>
      </c>
      <c r="G115" s="1">
        <v>0</v>
      </c>
      <c r="H115" s="1">
        <v>0</v>
      </c>
      <c r="I115" s="1">
        <v>0</v>
      </c>
      <c r="J115" s="1">
        <v>0</v>
      </c>
      <c r="K115" s="1">
        <v>0</v>
      </c>
      <c r="L115" s="1">
        <v>0</v>
      </c>
      <c r="M115" s="1">
        <v>0</v>
      </c>
      <c r="N115" s="1">
        <v>0</v>
      </c>
      <c r="O115" s="1">
        <v>0</v>
      </c>
      <c r="P115" s="1">
        <v>0</v>
      </c>
      <c r="Q115" s="1">
        <v>0</v>
      </c>
      <c r="R115" s="1">
        <v>0</v>
      </c>
      <c r="S115" s="1">
        <v>0</v>
      </c>
      <c r="T115" s="1">
        <v>0</v>
      </c>
      <c r="U115" s="1">
        <v>0</v>
      </c>
      <c r="V115" s="1">
        <v>0</v>
      </c>
      <c r="W115" s="1">
        <v>0</v>
      </c>
      <c r="X115" s="9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5"/>
    </row>
    <row r="116" spans="1:51" x14ac:dyDescent="0.2">
      <c r="C116" s="1"/>
      <c r="D116" s="1"/>
      <c r="E116" s="77"/>
      <c r="F116" s="77"/>
      <c r="G116" s="77"/>
      <c r="H116" s="77"/>
      <c r="I116" s="77"/>
      <c r="J116" s="77"/>
      <c r="K116" s="77"/>
      <c r="L116" s="77"/>
      <c r="M116" s="77"/>
      <c r="N116" s="77"/>
      <c r="O116" s="77"/>
      <c r="P116" s="77"/>
      <c r="Q116" s="77"/>
      <c r="R116" s="77"/>
      <c r="S116" s="77"/>
      <c r="T116" s="77"/>
      <c r="U116" s="81"/>
      <c r="V116" s="81"/>
      <c r="W116" s="81"/>
      <c r="X116" s="9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5"/>
    </row>
    <row r="117" spans="1:51" x14ac:dyDescent="0.2">
      <c r="B117" s="84" t="s">
        <v>216</v>
      </c>
      <c r="C117" s="26"/>
      <c r="D117" s="26"/>
      <c r="E117" s="26"/>
      <c r="F117" s="26"/>
      <c r="G117" s="26"/>
      <c r="H117" s="26"/>
      <c r="I117" s="26"/>
      <c r="J117" s="26"/>
      <c r="K117" s="26"/>
      <c r="L117" s="26"/>
      <c r="M117" s="26"/>
      <c r="N117" s="26"/>
      <c r="O117" s="26"/>
      <c r="P117" s="26"/>
      <c r="Q117" s="26"/>
      <c r="R117" s="26"/>
      <c r="S117" s="26"/>
      <c r="T117" s="26"/>
      <c r="U117" s="26"/>
      <c r="V117" s="101"/>
      <c r="W117" s="101"/>
      <c r="X117" s="9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5"/>
    </row>
    <row r="118" spans="1:51" outlineLevel="1" x14ac:dyDescent="0.2">
      <c r="B118" s="97" t="s">
        <v>21</v>
      </c>
      <c r="C118" s="23">
        <v>51.650093078613281</v>
      </c>
      <c r="D118" s="23">
        <v>50.132858276367188</v>
      </c>
      <c r="E118" s="23">
        <v>46.482692718505859</v>
      </c>
      <c r="F118" s="23">
        <v>47.061222076416016</v>
      </c>
      <c r="G118" s="23">
        <v>48.380847930908203</v>
      </c>
      <c r="H118" s="23">
        <v>48.313343048095703</v>
      </c>
      <c r="I118" s="23">
        <v>48.234718322753906</v>
      </c>
      <c r="J118" s="23">
        <v>48.057971954345703</v>
      </c>
      <c r="K118" s="23">
        <v>47.77362060546875</v>
      </c>
      <c r="L118" s="23">
        <v>47.401805877685547</v>
      </c>
      <c r="M118" s="23">
        <v>46.949924468994141</v>
      </c>
      <c r="N118" s="23">
        <v>46.647312164306641</v>
      </c>
      <c r="O118" s="23">
        <v>46.462146759033203</v>
      </c>
      <c r="P118" s="23">
        <v>46.406978607177734</v>
      </c>
      <c r="Q118" s="23">
        <v>46.568344116210938</v>
      </c>
      <c r="R118" s="23">
        <v>46.921394348144531</v>
      </c>
      <c r="S118" s="23">
        <v>47.436901092529297</v>
      </c>
      <c r="T118" s="23">
        <v>48.084579467773438</v>
      </c>
      <c r="U118" s="23">
        <v>48.841064453125</v>
      </c>
      <c r="V118" s="23">
        <v>49.691776275634766</v>
      </c>
      <c r="W118" s="23">
        <v>50.653831481933594</v>
      </c>
      <c r="X118" s="93"/>
      <c r="Y118" s="47"/>
    </row>
    <row r="119" spans="1:51" x14ac:dyDescent="0.2">
      <c r="B119" s="15" t="s">
        <v>104</v>
      </c>
      <c r="C119" s="1">
        <v>1.0822664499282837</v>
      </c>
      <c r="D119" s="1">
        <v>1.1515393257141113</v>
      </c>
      <c r="E119" s="1">
        <v>1.357616662979126</v>
      </c>
      <c r="F119" s="1">
        <v>1.574432373046875</v>
      </c>
      <c r="G119" s="1">
        <v>1.6039515733718872</v>
      </c>
      <c r="H119" s="1">
        <v>1.7762526273727417</v>
      </c>
      <c r="I119" s="1">
        <v>1.9034764766693115</v>
      </c>
      <c r="J119" s="1">
        <v>2.0131065845489502</v>
      </c>
      <c r="K119" s="1">
        <v>2.1085624694824219</v>
      </c>
      <c r="L119" s="1">
        <v>2.1922898292541504</v>
      </c>
      <c r="M119" s="1">
        <v>2.2661192417144775</v>
      </c>
      <c r="N119" s="1">
        <v>2.3314812183380127</v>
      </c>
      <c r="O119" s="1">
        <v>2.3921117782592773</v>
      </c>
      <c r="P119" s="1">
        <v>2.4513523578643799</v>
      </c>
      <c r="Q119" s="1">
        <v>2.510631799697876</v>
      </c>
      <c r="R119" s="1">
        <v>2.5702311992645264</v>
      </c>
      <c r="S119" s="1">
        <v>2.6302416324615479</v>
      </c>
      <c r="T119" s="1">
        <v>2.6905708312988281</v>
      </c>
      <c r="U119" s="1">
        <v>2.7507889270782471</v>
      </c>
      <c r="V119" s="1">
        <v>2.8108301162719727</v>
      </c>
      <c r="W119" s="1">
        <v>2.8705201148986816</v>
      </c>
      <c r="X119" s="9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5"/>
    </row>
    <row r="120" spans="1:51" x14ac:dyDescent="0.2">
      <c r="B120" s="15" t="s">
        <v>137</v>
      </c>
      <c r="C120" s="1"/>
      <c r="D120" s="1"/>
      <c r="E120" s="1"/>
      <c r="F120" s="1"/>
      <c r="G120" s="1">
        <v>0</v>
      </c>
      <c r="H120" s="1">
        <v>0</v>
      </c>
      <c r="I120" s="1">
        <v>0</v>
      </c>
      <c r="J120" s="1">
        <v>0</v>
      </c>
      <c r="K120" s="1">
        <v>0</v>
      </c>
      <c r="L120" s="1">
        <v>0</v>
      </c>
      <c r="M120" s="1">
        <v>0</v>
      </c>
      <c r="N120" s="1">
        <v>0</v>
      </c>
      <c r="O120" s="1">
        <v>0</v>
      </c>
      <c r="P120" s="1">
        <v>0</v>
      </c>
      <c r="Q120" s="1">
        <v>0</v>
      </c>
      <c r="R120" s="1">
        <v>0</v>
      </c>
      <c r="S120" s="1">
        <v>0</v>
      </c>
      <c r="T120" s="1">
        <v>0</v>
      </c>
      <c r="U120" s="1">
        <v>0</v>
      </c>
      <c r="V120" s="1">
        <v>0</v>
      </c>
      <c r="W120" s="1">
        <v>0</v>
      </c>
      <c r="X120" s="9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5"/>
    </row>
    <row r="121" spans="1:51" x14ac:dyDescent="0.2">
      <c r="T121" s="47"/>
      <c r="U121" s="93"/>
      <c r="V121" s="93"/>
      <c r="W121" s="93"/>
      <c r="X121" s="93"/>
      <c r="Y121" s="47"/>
    </row>
    <row r="122" spans="1:51" x14ac:dyDescent="0.2">
      <c r="H122" s="98"/>
      <c r="I122" s="98"/>
      <c r="J122" s="98"/>
      <c r="K122" s="98"/>
      <c r="L122" s="98"/>
      <c r="M122" s="98"/>
      <c r="N122" s="98"/>
      <c r="O122" s="98"/>
      <c r="P122" s="98"/>
      <c r="Q122" s="98"/>
      <c r="R122" s="98"/>
      <c r="S122" s="98"/>
      <c r="T122" s="98"/>
      <c r="U122" s="98"/>
      <c r="V122" s="98"/>
      <c r="W122" s="98"/>
    </row>
    <row r="123" spans="1:51" x14ac:dyDescent="0.2">
      <c r="E123" s="23"/>
      <c r="F123" s="23"/>
      <c r="G123" s="98"/>
      <c r="H123" s="98"/>
      <c r="I123" s="98"/>
      <c r="J123" s="98"/>
      <c r="K123" s="98"/>
      <c r="L123" s="98"/>
      <c r="M123" s="98"/>
      <c r="N123" s="98"/>
      <c r="O123" s="98"/>
      <c r="P123" s="98"/>
      <c r="Q123" s="98"/>
      <c r="R123" s="98"/>
      <c r="S123" s="98"/>
      <c r="T123" s="98"/>
      <c r="U123" s="98"/>
      <c r="V123" s="98"/>
      <c r="W123" s="98"/>
    </row>
    <row r="124" spans="1:51" x14ac:dyDescent="0.2">
      <c r="A124" s="45"/>
      <c r="C124" s="23"/>
      <c r="D124" s="23"/>
      <c r="E124" s="23"/>
      <c r="F124" s="23"/>
      <c r="G124" s="23"/>
      <c r="H124" s="23"/>
      <c r="I124" s="23"/>
      <c r="J124" s="23"/>
      <c r="K124" s="23"/>
      <c r="L124" s="23"/>
      <c r="M124" s="23"/>
      <c r="N124" s="23"/>
      <c r="O124" s="23"/>
      <c r="P124" s="23"/>
      <c r="Q124" s="23"/>
      <c r="R124" s="23"/>
      <c r="S124" s="23"/>
      <c r="T124" s="23"/>
      <c r="U124" s="23"/>
      <c r="V124" s="23"/>
      <c r="W124" s="23"/>
    </row>
    <row r="125" spans="1:51" x14ac:dyDescent="0.2">
      <c r="C125" s="46"/>
      <c r="D125" s="46"/>
      <c r="E125" s="46"/>
      <c r="F125" s="46"/>
      <c r="G125" s="46"/>
      <c r="H125" s="46"/>
      <c r="I125" s="46"/>
      <c r="J125" s="46"/>
      <c r="K125" s="46"/>
      <c r="L125" s="46"/>
      <c r="M125" s="46"/>
      <c r="N125" s="46"/>
      <c r="O125" s="46"/>
      <c r="P125" s="46"/>
      <c r="Q125" s="46"/>
      <c r="R125" s="46"/>
      <c r="S125" s="46"/>
      <c r="T125" s="46"/>
      <c r="U125" s="46"/>
      <c r="V125" s="46"/>
      <c r="W125" s="46"/>
      <c r="X125" s="46"/>
    </row>
    <row r="127" spans="1:51" x14ac:dyDescent="0.2">
      <c r="E127" s="23"/>
      <c r="F127" s="23"/>
      <c r="G127" s="98"/>
      <c r="H127" s="98"/>
      <c r="I127" s="98"/>
      <c r="J127" s="98"/>
      <c r="K127" s="98"/>
      <c r="L127" s="98"/>
      <c r="M127" s="98"/>
      <c r="N127" s="98"/>
      <c r="O127" s="98"/>
      <c r="P127" s="98"/>
      <c r="Q127" s="98"/>
      <c r="R127" s="98"/>
      <c r="S127" s="98"/>
      <c r="T127" s="98"/>
      <c r="U127" s="98"/>
      <c r="V127" s="98"/>
      <c r="W127" s="98"/>
    </row>
    <row r="128" spans="1:51" x14ac:dyDescent="0.2">
      <c r="E128" s="23"/>
      <c r="F128" s="23"/>
      <c r="G128" s="98"/>
      <c r="H128" s="98"/>
      <c r="I128" s="98"/>
      <c r="J128" s="98"/>
      <c r="K128" s="98"/>
      <c r="L128" s="98"/>
      <c r="M128" s="98"/>
      <c r="N128" s="98"/>
      <c r="O128" s="98"/>
      <c r="P128" s="98"/>
      <c r="Q128" s="98"/>
      <c r="R128" s="98"/>
      <c r="S128" s="98"/>
      <c r="T128" s="98"/>
      <c r="U128" s="98"/>
      <c r="V128" s="98"/>
      <c r="W128" s="98"/>
      <c r="X128" s="38"/>
    </row>
    <row r="129" spans="5:24" x14ac:dyDescent="0.2">
      <c r="G129" s="38"/>
      <c r="H129" s="38"/>
      <c r="I129" s="38"/>
      <c r="J129" s="38"/>
      <c r="K129" s="38"/>
      <c r="L129" s="38"/>
      <c r="M129" s="38"/>
      <c r="N129" s="38"/>
      <c r="O129" s="38"/>
      <c r="P129" s="38"/>
      <c r="Q129" s="38"/>
      <c r="R129" s="38"/>
      <c r="S129" s="38"/>
      <c r="T129" s="38"/>
      <c r="U129" s="38"/>
      <c r="V129" s="38"/>
      <c r="W129" s="38"/>
      <c r="X129" s="38"/>
    </row>
    <row r="130" spans="5:24" x14ac:dyDescent="0.2">
      <c r="E130" s="23"/>
      <c r="F130" s="23"/>
      <c r="G130" s="98"/>
      <c r="H130" s="98"/>
      <c r="I130" s="98"/>
      <c r="J130" s="98"/>
      <c r="K130" s="98"/>
      <c r="L130" s="98"/>
      <c r="M130" s="98"/>
      <c r="N130" s="98"/>
      <c r="O130" s="98"/>
      <c r="P130" s="98"/>
      <c r="Q130" s="98"/>
      <c r="R130" s="98"/>
      <c r="S130" s="98"/>
      <c r="T130" s="98"/>
      <c r="U130" s="98"/>
      <c r="V130" s="98"/>
      <c r="W130" s="98"/>
      <c r="X130" s="38"/>
    </row>
    <row r="131" spans="5:24" x14ac:dyDescent="0.2">
      <c r="E131" s="23"/>
      <c r="F131" s="23"/>
      <c r="G131" s="98"/>
      <c r="H131" s="98"/>
      <c r="I131" s="98"/>
      <c r="J131" s="98"/>
      <c r="K131" s="98"/>
      <c r="L131" s="98"/>
      <c r="M131" s="98"/>
      <c r="N131" s="98"/>
      <c r="O131" s="98"/>
      <c r="P131" s="98"/>
      <c r="Q131" s="98"/>
      <c r="R131" s="98"/>
      <c r="S131" s="98"/>
      <c r="T131" s="98"/>
      <c r="U131" s="98"/>
      <c r="V131" s="98"/>
      <c r="W131" s="98"/>
      <c r="X131" s="38"/>
    </row>
    <row r="132" spans="5:24" x14ac:dyDescent="0.2">
      <c r="G132" s="38"/>
      <c r="H132" s="38"/>
      <c r="I132" s="38"/>
      <c r="J132" s="38"/>
      <c r="K132" s="38"/>
      <c r="L132" s="38"/>
      <c r="M132" s="38"/>
      <c r="N132" s="38"/>
      <c r="O132" s="38"/>
      <c r="P132" s="38"/>
      <c r="Q132" s="38"/>
      <c r="R132" s="38"/>
      <c r="S132" s="38"/>
      <c r="T132" s="38"/>
      <c r="U132" s="38"/>
      <c r="V132" s="38"/>
      <c r="W132" s="38"/>
      <c r="X132" s="38"/>
    </row>
    <row r="133" spans="5:24" x14ac:dyDescent="0.2">
      <c r="E133" s="23"/>
      <c r="F133" s="23"/>
      <c r="G133" s="98"/>
      <c r="H133" s="98"/>
      <c r="I133" s="98"/>
      <c r="J133" s="98"/>
      <c r="K133" s="98"/>
      <c r="L133" s="98"/>
      <c r="M133" s="98"/>
      <c r="N133" s="98"/>
      <c r="O133" s="98"/>
      <c r="P133" s="98"/>
      <c r="Q133" s="98"/>
      <c r="R133" s="98"/>
      <c r="S133" s="98"/>
      <c r="T133" s="98"/>
      <c r="U133" s="98"/>
      <c r="V133" s="98"/>
      <c r="W133" s="98"/>
      <c r="X133" s="98"/>
    </row>
    <row r="134" spans="5:24" x14ac:dyDescent="0.2">
      <c r="E134" s="23"/>
      <c r="F134" s="23"/>
      <c r="G134" s="98"/>
      <c r="H134" s="98"/>
      <c r="I134" s="98"/>
      <c r="J134" s="98"/>
      <c r="K134" s="98"/>
      <c r="L134" s="98"/>
      <c r="M134" s="98"/>
      <c r="N134" s="98"/>
      <c r="O134" s="98"/>
      <c r="P134" s="98"/>
      <c r="Q134" s="98"/>
      <c r="R134" s="98"/>
      <c r="S134" s="98"/>
      <c r="T134" s="98"/>
      <c r="U134" s="98"/>
      <c r="V134" s="98"/>
      <c r="W134" s="98"/>
      <c r="X134" s="98"/>
    </row>
    <row r="135" spans="5:24" x14ac:dyDescent="0.2">
      <c r="G135" s="98"/>
      <c r="H135" s="98"/>
      <c r="I135" s="98"/>
      <c r="J135" s="98"/>
      <c r="K135" s="98"/>
      <c r="L135" s="98"/>
      <c r="M135" s="98"/>
      <c r="N135" s="98"/>
      <c r="O135" s="98"/>
      <c r="P135" s="98"/>
      <c r="Q135" s="98"/>
      <c r="R135" s="98"/>
      <c r="S135" s="98"/>
      <c r="T135" s="98"/>
      <c r="U135" s="98"/>
      <c r="V135" s="98"/>
      <c r="W135" s="98"/>
      <c r="X135" s="98"/>
    </row>
    <row r="136" spans="5:24" x14ac:dyDescent="0.2">
      <c r="E136" s="23"/>
      <c r="F136" s="23"/>
      <c r="G136" s="98"/>
      <c r="H136" s="98"/>
      <c r="I136" s="98"/>
      <c r="J136" s="98"/>
      <c r="K136" s="98"/>
      <c r="L136" s="98"/>
      <c r="M136" s="98"/>
      <c r="N136" s="98"/>
      <c r="O136" s="98"/>
      <c r="P136" s="98"/>
      <c r="Q136" s="98"/>
      <c r="R136" s="98"/>
      <c r="S136" s="98"/>
      <c r="T136" s="98"/>
      <c r="U136" s="98"/>
      <c r="V136" s="98"/>
      <c r="W136" s="98"/>
      <c r="X136" s="98"/>
    </row>
    <row r="137" spans="5:24" x14ac:dyDescent="0.2">
      <c r="E137" s="23"/>
      <c r="F137" s="23"/>
      <c r="G137" s="98"/>
      <c r="H137" s="98"/>
      <c r="I137" s="98"/>
      <c r="J137" s="98"/>
      <c r="K137" s="98"/>
      <c r="L137" s="98"/>
      <c r="M137" s="98"/>
      <c r="N137" s="98"/>
      <c r="O137" s="98"/>
      <c r="P137" s="98"/>
      <c r="Q137" s="98"/>
      <c r="R137" s="98"/>
      <c r="S137" s="98"/>
      <c r="T137" s="98"/>
      <c r="U137" s="98"/>
      <c r="V137" s="98"/>
      <c r="W137" s="98"/>
      <c r="X137" s="98"/>
    </row>
    <row r="138" spans="5:24" x14ac:dyDescent="0.2">
      <c r="G138" s="98"/>
      <c r="H138" s="98"/>
      <c r="I138" s="98"/>
      <c r="J138" s="98"/>
      <c r="K138" s="98"/>
      <c r="L138" s="98"/>
      <c r="M138" s="98"/>
      <c r="N138" s="98"/>
      <c r="O138" s="98"/>
      <c r="P138" s="98"/>
      <c r="Q138" s="98"/>
      <c r="R138" s="98"/>
      <c r="S138" s="98"/>
      <c r="T138" s="98"/>
      <c r="U138" s="98"/>
      <c r="V138" s="98"/>
      <c r="W138" s="98"/>
      <c r="X138" s="98"/>
    </row>
    <row r="139" spans="5:24" x14ac:dyDescent="0.2">
      <c r="G139" s="98"/>
      <c r="H139" s="98"/>
      <c r="I139" s="98"/>
      <c r="J139" s="98"/>
      <c r="K139" s="98"/>
      <c r="L139" s="98"/>
      <c r="M139" s="98"/>
      <c r="N139" s="98"/>
      <c r="O139" s="98"/>
      <c r="P139" s="98"/>
      <c r="Q139" s="98"/>
      <c r="R139" s="98"/>
      <c r="S139" s="98"/>
      <c r="T139" s="98"/>
      <c r="U139" s="98"/>
      <c r="V139" s="98"/>
      <c r="W139" s="98"/>
      <c r="X139" s="98"/>
    </row>
  </sheetData>
  <conditionalFormatting sqref="G12:M12">
    <cfRule type="expression" dxfId="4" priority="6">
      <formula>AND(G10&gt;$C$5,G10&lt;=$C$6)</formula>
    </cfRule>
  </conditionalFormatting>
  <conditionalFormatting sqref="U10:W44 U46:W53 U86:W109 U111:W123 U126:W150 U55:W78 U80:W84">
    <cfRule type="expression" dxfId="3" priority="2">
      <formula>U$10&gt;$C$7</formula>
    </cfRule>
  </conditionalFormatting>
  <conditionalFormatting sqref="U79:W79">
    <cfRule type="expression" dxfId="2" priority="1">
      <formula>U$10&gt;$C$7</formula>
    </cfRule>
  </conditionalFormatting>
  <pageMargins left="0.7" right="0.7" top="0.75" bottom="0.75" header="0.3" footer="0.3"/>
  <pageSetup paperSize="9" orientation="portrait" r:id="rId1"/>
  <ignoredErrors>
    <ignoredError sqref="C47:C48 C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FD891-C40B-4DD5-A43C-645C26D0DC6D}">
  <sheetPr codeName="Sheet22">
    <tabColor rgb="FF7030A0"/>
  </sheetPr>
  <dimension ref="A1:Y63"/>
  <sheetViews>
    <sheetView zoomScale="90" zoomScaleNormal="90" workbookViewId="0"/>
  </sheetViews>
  <sheetFormatPr defaultRowHeight="12.75" x14ac:dyDescent="0.2"/>
  <cols>
    <col min="1" max="1" width="9.140625" style="275"/>
    <col min="2" max="2" width="4.5703125" style="275" customWidth="1"/>
    <col min="3" max="3" width="67" style="275" customWidth="1"/>
    <col min="4" max="4" width="16.5703125" style="275" customWidth="1"/>
    <col min="5" max="5" width="13.7109375" style="275" customWidth="1"/>
    <col min="6" max="24" width="10.7109375" style="275" customWidth="1"/>
    <col min="25" max="16384" width="9.140625" style="275"/>
  </cols>
  <sheetData>
    <row r="1" spans="1:25" x14ac:dyDescent="0.2">
      <c r="A1" s="192"/>
      <c r="B1" s="192"/>
      <c r="C1" s="192"/>
      <c r="D1" s="192"/>
      <c r="E1" s="192"/>
      <c r="F1" s="192"/>
      <c r="G1" s="192"/>
      <c r="H1" s="192"/>
      <c r="I1" s="192"/>
      <c r="J1" s="192"/>
      <c r="K1" s="192"/>
      <c r="L1" s="192"/>
      <c r="M1" s="192"/>
      <c r="N1" s="192"/>
      <c r="O1" s="192"/>
      <c r="P1" s="192"/>
      <c r="Q1" s="192"/>
      <c r="R1" s="192"/>
      <c r="S1" s="192"/>
      <c r="T1" s="192"/>
      <c r="U1" s="192"/>
      <c r="V1" s="192"/>
      <c r="W1" s="192"/>
      <c r="X1" s="192"/>
      <c r="Y1" s="192"/>
    </row>
    <row r="2" spans="1:25" x14ac:dyDescent="0.2">
      <c r="A2" s="192"/>
      <c r="B2" s="280"/>
      <c r="C2" s="281" t="s">
        <v>151</v>
      </c>
      <c r="D2" s="282"/>
      <c r="E2" s="282"/>
      <c r="F2" s="282"/>
      <c r="G2" s="298"/>
      <c r="H2" s="298"/>
      <c r="I2" s="298"/>
      <c r="J2" s="298"/>
      <c r="K2" s="192"/>
      <c r="L2" s="192"/>
      <c r="M2" s="192"/>
      <c r="N2" s="192"/>
      <c r="O2" s="192"/>
      <c r="P2" s="192"/>
      <c r="Q2" s="192"/>
      <c r="R2" s="192"/>
      <c r="S2" s="192"/>
      <c r="T2" s="192"/>
      <c r="U2" s="192"/>
      <c r="V2" s="192"/>
      <c r="W2" s="192"/>
      <c r="X2" s="192"/>
      <c r="Y2" s="192"/>
    </row>
    <row r="3" spans="1:25" x14ac:dyDescent="0.2">
      <c r="A3" s="192"/>
      <c r="B3" s="277"/>
      <c r="C3" s="298"/>
      <c r="D3" s="298"/>
      <c r="E3" s="298"/>
      <c r="F3" s="298"/>
      <c r="G3" s="298"/>
      <c r="H3" s="298"/>
      <c r="I3" s="298"/>
      <c r="J3" s="298"/>
      <c r="K3" s="192"/>
      <c r="L3" s="192"/>
      <c r="M3" s="192"/>
      <c r="N3" s="192"/>
      <c r="O3" s="192"/>
      <c r="P3" s="192"/>
      <c r="Q3" s="192"/>
      <c r="R3" s="192"/>
      <c r="S3" s="192"/>
      <c r="T3" s="192"/>
      <c r="U3" s="192"/>
      <c r="V3" s="192"/>
      <c r="W3" s="192"/>
      <c r="X3" s="192"/>
      <c r="Y3" s="192"/>
    </row>
    <row r="4" spans="1:25" x14ac:dyDescent="0.2">
      <c r="A4" s="192"/>
      <c r="B4" s="283"/>
      <c r="C4" s="281"/>
      <c r="D4" s="284" t="s">
        <v>172</v>
      </c>
      <c r="E4" s="285">
        <f>F4-1</f>
        <v>2022</v>
      </c>
      <c r="F4" s="286">
        <f>'Input data'!$C$5-1</f>
        <v>2023</v>
      </c>
      <c r="G4" s="286">
        <f>F4+1</f>
        <v>2024</v>
      </c>
      <c r="H4" s="286">
        <f t="shared" ref="H4:X4" si="0">G4+1</f>
        <v>2025</v>
      </c>
      <c r="I4" s="286">
        <f t="shared" si="0"/>
        <v>2026</v>
      </c>
      <c r="J4" s="286">
        <f t="shared" si="0"/>
        <v>2027</v>
      </c>
      <c r="K4" s="286">
        <f t="shared" si="0"/>
        <v>2028</v>
      </c>
      <c r="L4" s="286">
        <f t="shared" si="0"/>
        <v>2029</v>
      </c>
      <c r="M4" s="286">
        <f t="shared" si="0"/>
        <v>2030</v>
      </c>
      <c r="N4" s="286">
        <f t="shared" si="0"/>
        <v>2031</v>
      </c>
      <c r="O4" s="286">
        <f t="shared" si="0"/>
        <v>2032</v>
      </c>
      <c r="P4" s="286">
        <f t="shared" si="0"/>
        <v>2033</v>
      </c>
      <c r="Q4" s="286">
        <f t="shared" si="0"/>
        <v>2034</v>
      </c>
      <c r="R4" s="286">
        <f t="shared" si="0"/>
        <v>2035</v>
      </c>
      <c r="S4" s="286">
        <f t="shared" si="0"/>
        <v>2036</v>
      </c>
      <c r="T4" s="286">
        <f t="shared" si="0"/>
        <v>2037</v>
      </c>
      <c r="U4" s="286">
        <f t="shared" si="0"/>
        <v>2038</v>
      </c>
      <c r="V4" s="286">
        <f t="shared" si="0"/>
        <v>2039</v>
      </c>
      <c r="W4" s="286">
        <f t="shared" si="0"/>
        <v>2040</v>
      </c>
      <c r="X4" s="286">
        <f t="shared" si="0"/>
        <v>2041</v>
      </c>
      <c r="Y4" s="192"/>
    </row>
    <row r="5" spans="1:25" x14ac:dyDescent="0.2">
      <c r="A5" s="192"/>
      <c r="B5" s="283">
        <v>1</v>
      </c>
      <c r="C5" s="287" t="s">
        <v>152</v>
      </c>
      <c r="D5" s="288">
        <v>57</v>
      </c>
      <c r="E5" s="289" t="s">
        <v>153</v>
      </c>
      <c r="F5" s="276">
        <f ca="1">INDEX(OFFSET('Adjustment scenario'!$D$1:$W$1,$D5-1,0),MATCH(F$4,'Adjustment scenario'!$D$10:$W$10,0))</f>
        <v>46.482690336671389</v>
      </c>
      <c r="G5" s="276">
        <f ca="1">INDEX(OFFSET('Adjustment scenario'!$D$1:$W$1,$D5-1,0),MATCH(G$4,'Adjustment scenario'!$D$10:$W$10,0))</f>
        <v>47.061224448752846</v>
      </c>
      <c r="H5" s="276">
        <f ca="1">INDEX(OFFSET('Adjustment scenario'!$D$1:$W$1,$D5-1,0),MATCH(H$4,'Adjustment scenario'!$D$10:$W$10,0))</f>
        <v>48.402599148872696</v>
      </c>
      <c r="I5" s="276">
        <f ca="1">INDEX(OFFSET('Adjustment scenario'!$D$1:$W$1,$D5-1,0),MATCH(I$4,'Adjustment scenario'!$D$10:$W$10,0))</f>
        <v>48.438526378096562</v>
      </c>
      <c r="J5" s="276">
        <f ca="1">INDEX(OFFSET('Adjustment scenario'!$D$1:$W$1,$D5-1,0),MATCH(J$4,'Adjustment scenario'!$D$10:$W$10,0))</f>
        <v>48.244783647846056</v>
      </c>
      <c r="K5" s="276">
        <f ca="1">INDEX(OFFSET('Adjustment scenario'!$D$1:$W$1,$D5-1,0),MATCH(K$4,'Adjustment scenario'!$D$10:$W$10,0))</f>
        <v>48.080120326750375</v>
      </c>
      <c r="L5" s="276">
        <f ca="1">INDEX(OFFSET('Adjustment scenario'!$D$1:$W$1,$D5-1,0),MATCH(L$4,'Adjustment scenario'!$D$10:$W$10,0))</f>
        <v>48.250854371176658</v>
      </c>
      <c r="M5" s="276">
        <f ca="1">INDEX(OFFSET('Adjustment scenario'!$D$1:$W$1,$D5-1,0),MATCH(M$4,'Adjustment scenario'!$D$10:$W$10,0))</f>
        <v>48.646228475439614</v>
      </c>
      <c r="N5" s="276">
        <f ca="1">INDEX(OFFSET('Adjustment scenario'!$D$1:$W$1,$D5-1,0),MATCH(N$4,'Adjustment scenario'!$D$10:$W$10,0))</f>
        <v>49.287799730189889</v>
      </c>
      <c r="O5" s="276">
        <f ca="1">INDEX(OFFSET('Adjustment scenario'!$D$1:$W$1,$D5-1,0),MATCH(O$4,'Adjustment scenario'!$D$10:$W$10,0))</f>
        <v>50.162177262191719</v>
      </c>
      <c r="P5" s="276">
        <f ca="1">INDEX(OFFSET('Adjustment scenario'!$D$1:$W$1,$D5-1,0),MATCH(P$4,'Adjustment scenario'!$D$10:$W$10,0))</f>
        <v>51.208546889704138</v>
      </c>
      <c r="Q5" s="276">
        <f ca="1">INDEX(OFFSET('Adjustment scenario'!$D$1:$W$1,$D5-1,0),MATCH(Q$4,'Adjustment scenario'!$D$10:$W$10,0))</f>
        <v>52.441071550742755</v>
      </c>
      <c r="R5" s="276">
        <f ca="1">INDEX(OFFSET('Adjustment scenario'!$D$1:$W$1,$D5-1,0),MATCH(R$4,'Adjustment scenario'!$D$10:$W$10,0))</f>
        <v>53.833503749210372</v>
      </c>
      <c r="S5" s="276">
        <f ca="1">INDEX(OFFSET('Adjustment scenario'!$D$1:$W$1,$D5-1,0),MATCH(S$4,'Adjustment scenario'!$D$10:$W$10,0))</f>
        <v>55.411476568297779</v>
      </c>
      <c r="T5" s="276">
        <f ca="1">INDEX(OFFSET('Adjustment scenario'!$D$1:$W$1,$D5-1,0),MATCH(T$4,'Adjustment scenario'!$D$10:$W$10,0))</f>
        <v>57.139808468973605</v>
      </c>
      <c r="U5" s="276">
        <f ca="1">INDEX(OFFSET('Adjustment scenario'!$D$1:$W$1,$D5-1,0),MATCH(U$4,'Adjustment scenario'!$D$10:$W$10,0))</f>
        <v>58.987644442506152</v>
      </c>
      <c r="V5" s="276">
        <f ca="1">INDEX(OFFSET('Adjustment scenario'!$D$1:$W$1,$D5-1,0),MATCH(V$4,'Adjustment scenario'!$D$10:$W$10,0))</f>
        <v>60.924863663676099</v>
      </c>
      <c r="W5" s="276">
        <f ca="1">INDEX(OFFSET('Adjustment scenario'!$D$1:$W$1,$D5-1,0),MATCH(W$4,'Adjustment scenario'!$D$10:$W$10,0))</f>
        <v>62.934597626211762</v>
      </c>
      <c r="X5" s="276">
        <f ca="1">INDEX(OFFSET('Adjustment scenario'!$D$1:$W$1,$D5-1,0),MATCH(X$4,'Adjustment scenario'!$D$10:$W$10,0))</f>
        <v>65.046566157525334</v>
      </c>
      <c r="Y5" s="192"/>
    </row>
    <row r="6" spans="1:25" x14ac:dyDescent="0.2">
      <c r="A6" s="192"/>
      <c r="B6" s="283">
        <v>2</v>
      </c>
      <c r="C6" s="287" t="s">
        <v>154</v>
      </c>
      <c r="D6" s="288">
        <v>77</v>
      </c>
      <c r="E6" s="289" t="s">
        <v>153</v>
      </c>
      <c r="F6" s="276">
        <f ca="1">INDEX(OFFSET('Adjustment scenario'!$D$1:$W$1,$D6-1,0),MATCH(F$4,'Adjustment scenario'!$D$10:$W$10,0))</f>
        <v>-0.34320279257575687</v>
      </c>
      <c r="G6" s="276">
        <f ca="1">INDEX(OFFSET('Adjustment scenario'!$D$1:$W$1,$D6-1,0),MATCH(G$4,'Adjustment scenario'!$D$10:$W$10,0))</f>
        <v>-1.9866626203999505</v>
      </c>
      <c r="H6" s="276">
        <f ca="1">INDEX(OFFSET('Adjustment scenario'!$D$1:$W$1,$D6-1,0),MATCH(H$4,'Adjustment scenario'!$D$10:$W$10,0))</f>
        <v>-2.1377700281313672</v>
      </c>
      <c r="I6" s="276">
        <f ca="1">INDEX(OFFSET('Adjustment scenario'!$D$1:$W$1,$D6-1,0),MATCH(I$4,'Adjustment scenario'!$D$10:$W$10,0))</f>
        <v>-1.9797784355995955</v>
      </c>
      <c r="J6" s="276">
        <f ca="1">INDEX(OFFSET('Adjustment scenario'!$D$1:$W$1,$D6-1,0),MATCH(J$4,'Adjustment scenario'!$D$10:$W$10,0))</f>
        <v>-1.7000136460831539</v>
      </c>
      <c r="K6" s="276">
        <f ca="1">INDEX(OFFSET('Adjustment scenario'!$D$1:$W$1,$D6-1,0),MATCH(K$4,'Adjustment scenario'!$D$10:$W$10,0))</f>
        <v>-1.5794814885450998</v>
      </c>
      <c r="L6" s="276">
        <f ca="1">INDEX(OFFSET('Adjustment scenario'!$D$1:$W$1,$D6-1,0),MATCH(L$4,'Adjustment scenario'!$D$10:$W$10,0))</f>
        <v>-1.7917461562283996</v>
      </c>
      <c r="M6" s="276">
        <f ca="1">INDEX(OFFSET('Adjustment scenario'!$D$1:$W$1,$D6-1,0),MATCH(M$4,'Adjustment scenario'!$D$10:$W$10,0))</f>
        <v>-2.0252968121962684</v>
      </c>
      <c r="N6" s="276">
        <f ca="1">INDEX(OFFSET('Adjustment scenario'!$D$1:$W$1,$D6-1,0),MATCH(N$4,'Adjustment scenario'!$D$10:$W$10,0))</f>
        <v>-2.2856114669055003</v>
      </c>
      <c r="O6" s="276">
        <f ca="1">INDEX(OFFSET('Adjustment scenario'!$D$1:$W$1,$D6-1,0),MATCH(O$4,'Adjustment scenario'!$D$10:$W$10,0))</f>
        <v>-2.5467792516718566</v>
      </c>
      <c r="P6" s="276">
        <f ca="1">INDEX(OFFSET('Adjustment scenario'!$D$1:$W$1,$D6-1,0),MATCH(P$4,'Adjustment scenario'!$D$10:$W$10,0))</f>
        <v>-2.7720002530935872</v>
      </c>
      <c r="Q6" s="276">
        <f ca="1">INDEX(OFFSET('Adjustment scenario'!$D$1:$W$1,$D6-1,0),MATCH(Q$4,'Adjustment scenario'!$D$10:$W$10,0))</f>
        <v>-2.9943659525539013</v>
      </c>
      <c r="R6" s="276">
        <f ca="1">INDEX(OFFSET('Adjustment scenario'!$D$1:$W$1,$D6-1,0),MATCH(R$4,'Adjustment scenario'!$D$10:$W$10,0))</f>
        <v>-3.196890299302714</v>
      </c>
      <c r="S6" s="276">
        <f ca="1">INDEX(OFFSET('Adjustment scenario'!$D$1:$W$1,$D6-1,0),MATCH(S$4,'Adjustment scenario'!$D$10:$W$10,0))</f>
        <v>-3.4305525016933354</v>
      </c>
      <c r="T6" s="276">
        <f ca="1">INDEX(OFFSET('Adjustment scenario'!$D$1:$W$1,$D6-1,0),MATCH(T$4,'Adjustment scenario'!$D$10:$W$10,0))</f>
        <v>-3.6789139972498059</v>
      </c>
      <c r="U6" s="276">
        <f ca="1">INDEX(OFFSET('Adjustment scenario'!$D$1:$W$1,$D6-1,0),MATCH(U$4,'Adjustment scenario'!$D$10:$W$10,0))</f>
        <v>-3.9021339671436786</v>
      </c>
      <c r="V6" s="276">
        <f ca="1">INDEX(OFFSET('Adjustment scenario'!$D$1:$W$1,$D6-1,0),MATCH(V$4,'Adjustment scenario'!$D$10:$W$10,0))</f>
        <v>-4.1334453226708776</v>
      </c>
      <c r="W6" s="276">
        <f ca="1">INDEX(OFFSET('Adjustment scenario'!$D$1:$W$1,$D6-1,0),MATCH(W$4,'Adjustment scenario'!$D$10:$W$10,0))</f>
        <v>-4.3574666102816302</v>
      </c>
      <c r="X6" s="276">
        <f ca="1">INDEX(OFFSET('Adjustment scenario'!$D$1:$W$1,$D6-1,0),MATCH(X$4,'Adjustment scenario'!$D$10:$W$10,0))</f>
        <v>-4.551844114363794</v>
      </c>
      <c r="Y6" s="192"/>
    </row>
    <row r="7" spans="1:25" x14ac:dyDescent="0.2">
      <c r="A7" s="192"/>
      <c r="B7" s="283">
        <v>3</v>
      </c>
      <c r="C7" s="287" t="s">
        <v>18</v>
      </c>
      <c r="D7" s="288">
        <v>12</v>
      </c>
      <c r="E7" s="289" t="s">
        <v>155</v>
      </c>
      <c r="F7" s="276">
        <f ca="1">INDEX(OFFSET('Adjustment scenario'!$D$1:$W$1,$D7-1,0),MATCH(F$4,'Adjustment scenario'!$D$10:$W$10,0))</f>
        <v>-0.18470490000000001</v>
      </c>
      <c r="G7" s="276">
        <f ca="1">INDEX(OFFSET('Adjustment scenario'!$D$1:$W$1,$D7-1,0),MATCH(G$4,'Adjustment scenario'!$D$10:$W$10,0))</f>
        <v>-0.64168910000000001</v>
      </c>
      <c r="H7" s="276">
        <f ca="1">INDEX(OFFSET('Adjustment scenario'!$D$1:$W$1,$D7-1,0),MATCH(H$4,'Adjustment scenario'!$D$10:$W$10,0))</f>
        <v>-0.64168910000000001</v>
      </c>
      <c r="I7" s="276">
        <f ca="1">INDEX(OFFSET('Adjustment scenario'!$D$1:$W$1,$D7-1,0),MATCH(I$4,'Adjustment scenario'!$D$10:$W$10,0))</f>
        <v>-0.64168910000000001</v>
      </c>
      <c r="J7" s="276">
        <f ca="1">INDEX(OFFSET('Adjustment scenario'!$D$1:$W$1,$D7-1,0),MATCH(J$4,'Adjustment scenario'!$D$10:$W$10,0))</f>
        <v>-0.64168910000000001</v>
      </c>
      <c r="K7" s="276">
        <f ca="1">INDEX(OFFSET('Adjustment scenario'!$D$1:$W$1,$D7-1,0),MATCH(K$4,'Adjustment scenario'!$D$10:$W$10,0))</f>
        <v>-0.64168910000000001</v>
      </c>
      <c r="L7" s="276">
        <f ca="1">INDEX(OFFSET('Adjustment scenario'!$D$1:$W$1,$D7-1,0),MATCH(L$4,'Adjustment scenario'!$D$10:$W$10,0))</f>
        <v>-0.64168910000000001</v>
      </c>
      <c r="M7" s="276">
        <f ca="1">INDEX(OFFSET('Adjustment scenario'!$D$1:$W$1,$D7-1,0),MATCH(M$4,'Adjustment scenario'!$D$10:$W$10,0))</f>
        <v>-0.64168910000000001</v>
      </c>
      <c r="N7" s="276">
        <f ca="1">INDEX(OFFSET('Adjustment scenario'!$D$1:$W$1,$D7-1,0),MATCH(N$4,'Adjustment scenario'!$D$10:$W$10,0))</f>
        <v>-0.64168910000000001</v>
      </c>
      <c r="O7" s="276">
        <f ca="1">INDEX(OFFSET('Adjustment scenario'!$D$1:$W$1,$D7-1,0),MATCH(O$4,'Adjustment scenario'!$D$10:$W$10,0))</f>
        <v>-0.64168910000000001</v>
      </c>
      <c r="P7" s="276">
        <f ca="1">INDEX(OFFSET('Adjustment scenario'!$D$1:$W$1,$D7-1,0),MATCH(P$4,'Adjustment scenario'!$D$10:$W$10,0))</f>
        <v>-0.64168910000000001</v>
      </c>
      <c r="Q7" s="276">
        <f ca="1">INDEX(OFFSET('Adjustment scenario'!$D$1:$W$1,$D7-1,0),MATCH(Q$4,'Adjustment scenario'!$D$10:$W$10,0))</f>
        <v>-0.64168910000000001</v>
      </c>
      <c r="R7" s="276">
        <f ca="1">INDEX(OFFSET('Adjustment scenario'!$D$1:$W$1,$D7-1,0),MATCH(R$4,'Adjustment scenario'!$D$10:$W$10,0))</f>
        <v>-0.64168910000000001</v>
      </c>
      <c r="S7" s="276">
        <f ca="1">INDEX(OFFSET('Adjustment scenario'!$D$1:$W$1,$D7-1,0),MATCH(S$4,'Adjustment scenario'!$D$10:$W$10,0))</f>
        <v>-0.64168910000000001</v>
      </c>
      <c r="T7" s="276">
        <f ca="1">INDEX(OFFSET('Adjustment scenario'!$D$1:$W$1,$D7-1,0),MATCH(T$4,'Adjustment scenario'!$D$10:$W$10,0))</f>
        <v>-0.64168910000000001</v>
      </c>
      <c r="U7" s="276">
        <f ca="1">INDEX(OFFSET('Adjustment scenario'!$D$1:$W$1,$D7-1,0),MATCH(U$4,'Adjustment scenario'!$D$10:$W$10,0))</f>
        <v>-0.64168910000000001</v>
      </c>
      <c r="V7" s="276">
        <f ca="1">INDEX(OFFSET('Adjustment scenario'!$D$1:$W$1,$D7-1,0),MATCH(V$4,'Adjustment scenario'!$D$10:$W$10,0))</f>
        <v>-0.64168910000000001</v>
      </c>
      <c r="W7" s="276">
        <f ca="1">INDEX(OFFSET('Adjustment scenario'!$D$1:$W$1,$D7-1,0),MATCH(W$4,'Adjustment scenario'!$D$10:$W$10,0))</f>
        <v>-0.64168910000000001</v>
      </c>
      <c r="X7" s="276">
        <f ca="1">INDEX(OFFSET('Adjustment scenario'!$D$1:$W$1,$D7-1,0),MATCH(X$4,'Adjustment scenario'!$D$10:$W$10,0))</f>
        <v>-0.64168910000000001</v>
      </c>
      <c r="Y7" s="192"/>
    </row>
    <row r="8" spans="1:25" x14ac:dyDescent="0.2">
      <c r="A8" s="192"/>
      <c r="B8" s="283">
        <v>4</v>
      </c>
      <c r="C8" s="287" t="s">
        <v>156</v>
      </c>
      <c r="D8" s="288">
        <v>62</v>
      </c>
      <c r="E8" s="289" t="s">
        <v>155</v>
      </c>
      <c r="F8" s="276">
        <f ca="1">INDEX(OFFSET('Adjustment scenario'!$D$1:$W$1,$D8-1,0),MATCH(F$4,'Adjustment scenario'!$D$10:$W$10,0))</f>
        <v>1.1121284391570119E-2</v>
      </c>
      <c r="G8" s="276">
        <f ca="1">INDEX(OFFSET('Adjustment scenario'!$D$1:$W$1,$D8-1,0),MATCH(G$4,'Adjustment scenario'!$D$10:$W$10,0))</f>
        <v>0.64475181208145382</v>
      </c>
      <c r="H8" s="276">
        <f ca="1">INDEX(OFFSET('Adjustment scenario'!$D$1:$W$1,$D8-1,0),MATCH(H$4,'Adjustment scenario'!$D$10:$W$10,0))</f>
        <v>0.76845080011985356</v>
      </c>
      <c r="I8" s="276">
        <f ca="1">INDEX(OFFSET('Adjustment scenario'!$D$1:$W$1,$D8-1,0),MATCH(I$4,'Adjustment scenario'!$D$10:$W$10,0))</f>
        <v>0.51230365151481616</v>
      </c>
      <c r="J8" s="276">
        <f ca="1">INDEX(OFFSET('Adjustment scenario'!$D$1:$W$1,$D8-1,0),MATCH(J$4,'Adjustment scenario'!$D$10:$W$10,0))</f>
        <v>0.17077222841844603</v>
      </c>
      <c r="K8" s="276">
        <f ca="1">INDEX(OFFSET('Adjustment scenario'!$D$1:$W$1,$D8-1,0),MATCH(K$4,'Adjustment scenario'!$D$10:$W$10,0))</f>
        <v>8.9001473470573522E-6</v>
      </c>
      <c r="L8" s="276">
        <f ca="1">INDEX(OFFSET('Adjustment scenario'!$D$1:$W$1,$D8-1,0),MATCH(L$4,'Adjustment scenario'!$D$10:$W$10,0))</f>
        <v>9.4987862049866756E-6</v>
      </c>
      <c r="M8" s="276">
        <f ca="1">INDEX(OFFSET('Adjustment scenario'!$D$1:$W$1,$D8-1,0),MATCH(M$4,'Adjustment scenario'!$D$10:$W$10,0))</f>
        <v>8.301154027556823E-6</v>
      </c>
      <c r="N8" s="276">
        <f ca="1">INDEX(OFFSET('Adjustment scenario'!$D$1:$W$1,$D8-1,0),MATCH(N$4,'Adjustment scenario'!$D$10:$W$10,0))</f>
        <v>7.1031057950476928E-6</v>
      </c>
      <c r="O8" s="276">
        <f ca="1">INDEX(OFFSET('Adjustment scenario'!$D$1:$W$1,$D8-1,0),MATCH(O$4,'Adjustment scenario'!$D$10:$W$10,0))</f>
        <v>5.1858007892868763E-6</v>
      </c>
      <c r="P8" s="276">
        <f ca="1">INDEX(OFFSET('Adjustment scenario'!$D$1:$W$1,$D8-1,0),MATCH(P$4,'Adjustment scenario'!$D$10:$W$10,0))</f>
        <v>4.5867166781343727E-6</v>
      </c>
      <c r="Q8" s="276">
        <f ca="1">INDEX(OFFSET('Adjustment scenario'!$D$1:$W$1,$D8-1,0),MATCH(Q$4,'Adjustment scenario'!$D$10:$W$10,0))</f>
        <v>3.3888749282895425E-6</v>
      </c>
      <c r="R8" s="276">
        <f ca="1">INDEX(OFFSET('Adjustment scenario'!$D$1:$W$1,$D8-1,0),MATCH(R$4,'Adjustment scenario'!$D$10:$W$10,0))</f>
        <v>2.7901172022781751E-6</v>
      </c>
      <c r="S8" s="276">
        <f ca="1">INDEX(OFFSET('Adjustment scenario'!$D$1:$W$1,$D8-1,0),MATCH(S$4,'Adjustment scenario'!$D$10:$W$10,0))</f>
        <v>3.3887118633391111E-6</v>
      </c>
      <c r="T8" s="276">
        <f ca="1">INDEX(OFFSET('Adjustment scenario'!$D$1:$W$1,$D8-1,0),MATCH(T$4,'Adjustment scenario'!$D$10:$W$10,0))</f>
        <v>5.1825475504974072E-6</v>
      </c>
      <c r="U8" s="276">
        <f ca="1">INDEX(OFFSET('Adjustment scenario'!$D$1:$W$1,$D8-1,0),MATCH(U$4,'Adjustment scenario'!$D$10:$W$10,0))</f>
        <v>3.9879079376525794E-6</v>
      </c>
      <c r="V8" s="276">
        <f ca="1">INDEX(OFFSET('Adjustment scenario'!$D$1:$W$1,$D8-1,0),MATCH(V$4,'Adjustment scenario'!$D$10:$W$10,0))</f>
        <v>3.9879079309357301E-6</v>
      </c>
      <c r="W8" s="276">
        <f ca="1">INDEX(OFFSET('Adjustment scenario'!$D$1:$W$1,$D8-1,0),MATCH(W$4,'Adjustment scenario'!$D$10:$W$10,0))</f>
        <v>3.9879079376525794E-6</v>
      </c>
      <c r="X8" s="276">
        <f ca="1">INDEX(OFFSET('Adjustment scenario'!$D$1:$W$1,$D8-1,0),MATCH(X$4,'Adjustment scenario'!$D$10:$W$10,0))</f>
        <v>3.3928128692628512E-6</v>
      </c>
      <c r="Y8" s="192"/>
    </row>
    <row r="9" spans="1:25" x14ac:dyDescent="0.2">
      <c r="A9" s="192"/>
      <c r="B9" s="283">
        <v>5</v>
      </c>
      <c r="C9" s="287" t="s">
        <v>157</v>
      </c>
      <c r="D9" s="288">
        <v>14</v>
      </c>
      <c r="E9" s="289" t="s">
        <v>153</v>
      </c>
      <c r="F9" s="276">
        <f ca="1">INDEX(OFFSET('Adjustment scenario'!$D$1:$W$1,$D9-1,0),MATCH(F$4,'Adjustment scenario'!$D$10:$W$10,0))</f>
        <v>0.48351880000000003</v>
      </c>
      <c r="G9" s="276">
        <f ca="1">INDEX(OFFSET('Adjustment scenario'!$D$1:$W$1,$D9-1,0),MATCH(G$4,'Adjustment scenario'!$D$10:$W$10,0))</f>
        <v>0</v>
      </c>
      <c r="H9" s="276">
        <f ca="1">INDEX(OFFSET('Adjustment scenario'!$D$1:$W$1,$D9-1,0),MATCH(H$4,'Adjustment scenario'!$D$10:$W$10,0))</f>
        <v>0</v>
      </c>
      <c r="I9" s="276">
        <f ca="1">INDEX(OFFSET('Adjustment scenario'!$D$1:$W$1,$D9-1,0),MATCH(I$4,'Adjustment scenario'!$D$10:$W$10,0))</f>
        <v>0</v>
      </c>
      <c r="J9" s="276">
        <f ca="1">INDEX(OFFSET('Adjustment scenario'!$D$1:$W$1,$D9-1,0),MATCH(J$4,'Adjustment scenario'!$D$10:$W$10,0))</f>
        <v>0</v>
      </c>
      <c r="K9" s="276">
        <f ca="1">INDEX(OFFSET('Adjustment scenario'!$D$1:$W$1,$D9-1,0),MATCH(K$4,'Adjustment scenario'!$D$10:$W$10,0))</f>
        <v>0</v>
      </c>
      <c r="L9" s="276">
        <f ca="1">INDEX(OFFSET('Adjustment scenario'!$D$1:$W$1,$D9-1,0),MATCH(L$4,'Adjustment scenario'!$D$10:$W$10,0))</f>
        <v>0</v>
      </c>
      <c r="M9" s="276">
        <f ca="1">INDEX(OFFSET('Adjustment scenario'!$D$1:$W$1,$D9-1,0),MATCH(M$4,'Adjustment scenario'!$D$10:$W$10,0))</f>
        <v>0</v>
      </c>
      <c r="N9" s="276">
        <f ca="1">INDEX(OFFSET('Adjustment scenario'!$D$1:$W$1,$D9-1,0),MATCH(N$4,'Adjustment scenario'!$D$10:$W$10,0))</f>
        <v>0</v>
      </c>
      <c r="O9" s="276">
        <f ca="1">INDEX(OFFSET('Adjustment scenario'!$D$1:$W$1,$D9-1,0),MATCH(O$4,'Adjustment scenario'!$D$10:$W$10,0))</f>
        <v>0</v>
      </c>
      <c r="P9" s="276">
        <f ca="1">INDEX(OFFSET('Adjustment scenario'!$D$1:$W$1,$D9-1,0),MATCH(P$4,'Adjustment scenario'!$D$10:$W$10,0))</f>
        <v>0</v>
      </c>
      <c r="Q9" s="276">
        <f ca="1">INDEX(OFFSET('Adjustment scenario'!$D$1:$W$1,$D9-1,0),MATCH(Q$4,'Adjustment scenario'!$D$10:$W$10,0))</f>
        <v>0</v>
      </c>
      <c r="R9" s="276">
        <f ca="1">INDEX(OFFSET('Adjustment scenario'!$D$1:$W$1,$D9-1,0),MATCH(R$4,'Adjustment scenario'!$D$10:$W$10,0))</f>
        <v>0</v>
      </c>
      <c r="S9" s="276">
        <f ca="1">INDEX(OFFSET('Adjustment scenario'!$D$1:$W$1,$D9-1,0),MATCH(S$4,'Adjustment scenario'!$D$10:$W$10,0))</f>
        <v>0</v>
      </c>
      <c r="T9" s="276">
        <f ca="1">INDEX(OFFSET('Adjustment scenario'!$D$1:$W$1,$D9-1,0),MATCH(T$4,'Adjustment scenario'!$D$10:$W$10,0))</f>
        <v>0</v>
      </c>
      <c r="U9" s="276">
        <f ca="1">INDEX(OFFSET('Adjustment scenario'!$D$1:$W$1,$D9-1,0),MATCH(U$4,'Adjustment scenario'!$D$10:$W$10,0))</f>
        <v>0</v>
      </c>
      <c r="V9" s="276">
        <f ca="1">INDEX(OFFSET('Adjustment scenario'!$D$1:$W$1,$D9-1,0),MATCH(V$4,'Adjustment scenario'!$D$10:$W$10,0))</f>
        <v>0</v>
      </c>
      <c r="W9" s="276">
        <f ca="1">INDEX(OFFSET('Adjustment scenario'!$D$1:$W$1,$D9-1,0),MATCH(W$4,'Adjustment scenario'!$D$10:$W$10,0))</f>
        <v>0</v>
      </c>
      <c r="X9" s="276">
        <f ca="1">INDEX(OFFSET('Adjustment scenario'!$D$1:$W$1,$D9-1,0),MATCH(X$4,'Adjustment scenario'!$D$10:$W$10,0))</f>
        <v>0</v>
      </c>
      <c r="Y9" s="192"/>
    </row>
    <row r="10" spans="1:25" x14ac:dyDescent="0.2">
      <c r="A10" s="192"/>
      <c r="B10" s="283">
        <v>6</v>
      </c>
      <c r="C10" s="287" t="s">
        <v>158</v>
      </c>
      <c r="D10" s="288">
        <v>68</v>
      </c>
      <c r="E10" s="289" t="s">
        <v>153</v>
      </c>
      <c r="F10" s="276">
        <f ca="1">INDEX(OFFSET('Adjustment scenario'!$D$1:$W$1,$D10-1,0),MATCH(F$4,'Adjustment scenario'!$D$10:$W$10,0))</f>
        <v>0.63089540818418677</v>
      </c>
      <c r="G10" s="276">
        <f ca="1">INDEX(OFFSET('Adjustment scenario'!$D$1:$W$1,$D10-1,0),MATCH(G$4,'Adjustment scenario'!$D$10:$W$10,0))</f>
        <v>0.70022170831849662</v>
      </c>
      <c r="H10" s="276">
        <f ca="1">INDEX(OFFSET('Adjustment scenario'!$D$1:$W$1,$D10-1,0),MATCH(H$4,'Adjustment scenario'!$D$10:$W$10,0))</f>
        <v>0.7276301280115135</v>
      </c>
      <c r="I10" s="276">
        <f ca="1">INDEX(OFFSET('Adjustment scenario'!$D$1:$W$1,$D10-1,0),MATCH(I$4,'Adjustment scenario'!$D$10:$W$10,0))</f>
        <v>0.82578568408477915</v>
      </c>
      <c r="J10" s="276">
        <f ca="1">INDEX(OFFSET('Adjustment scenario'!$D$1:$W$1,$D10-1,0),MATCH(J$4,'Adjustment scenario'!$D$10:$W$10,0))</f>
        <v>0.88755231766470777</v>
      </c>
      <c r="K10" s="276">
        <f ca="1">INDEX(OFFSET('Adjustment scenario'!$D$1:$W$1,$D10-1,0),MATCH(K$4,'Adjustment scenario'!$D$10:$W$10,0))</f>
        <v>0.93778348839775261</v>
      </c>
      <c r="L10" s="276">
        <f ca="1">INDEX(OFFSET('Adjustment scenario'!$D$1:$W$1,$D10-1,0),MATCH(L$4,'Adjustment scenario'!$D$10:$W$10,0))</f>
        <v>0.98155055744219255</v>
      </c>
      <c r="M10" s="276">
        <f ca="1">INDEX(OFFSET('Adjustment scenario'!$D$1:$W$1,$D10-1,0),MATCH(M$4,'Adjustment scenario'!$D$10:$W$10,0))</f>
        <v>1.0261964110422381</v>
      </c>
      <c r="N10" s="276">
        <f ca="1">INDEX(OFFSET('Adjustment scenario'!$D$1:$W$1,$D10-1,0),MATCH(N$4,'Adjustment scenario'!$D$10:$W$10,0))</f>
        <v>1.0727262637997059</v>
      </c>
      <c r="O10" s="276">
        <f ca="1">INDEX(OFFSET('Adjustment scenario'!$D$1:$W$1,$D10-1,0),MATCH(O$4,'Adjustment scenario'!$D$10:$W$10,0))</f>
        <v>1.12203996587107</v>
      </c>
      <c r="P10" s="276">
        <f ca="1">INDEX(OFFSET('Adjustment scenario'!$D$1:$W$1,$D10-1,0),MATCH(P$4,'Adjustment scenario'!$D$10:$W$10,0))</f>
        <v>1.1739845663769053</v>
      </c>
      <c r="Q10" s="276">
        <f ca="1">INDEX(OFFSET('Adjustment scenario'!$D$1:$W$1,$D10-1,0),MATCH(Q$4,'Adjustment scenario'!$D$10:$W$10,0))</f>
        <v>1.2305454636789721</v>
      </c>
      <c r="R10" s="276">
        <f ca="1">INDEX(OFFSET('Adjustment scenario'!$D$1:$W$1,$D10-1,0),MATCH(R$4,'Adjustment scenario'!$D$10:$W$10,0))</f>
        <v>1.2925244091855093</v>
      </c>
      <c r="S10" s="276">
        <f ca="1">INDEX(OFFSET('Adjustment scenario'!$D$1:$W$1,$D10-1,0),MATCH(S$4,'Adjustment scenario'!$D$10:$W$10,0))</f>
        <v>1.3594590129814677</v>
      </c>
      <c r="T10" s="276">
        <f ca="1">INDEX(OFFSET('Adjustment scenario'!$D$1:$W$1,$D10-1,0),MATCH(T$4,'Adjustment scenario'!$D$10:$W$10,0))</f>
        <v>1.4312029147022545</v>
      </c>
      <c r="U10" s="276">
        <f ca="1">INDEX(OFFSET('Adjustment scenario'!$D$1:$W$1,$D10-1,0),MATCH(U$4,'Adjustment scenario'!$D$10:$W$10,0))</f>
        <v>1.5082478792357419</v>
      </c>
      <c r="V10" s="276">
        <f ca="1">INDEX(OFFSET('Adjustment scenario'!$D$1:$W$1,$D10-1,0),MATCH(V$4,'Adjustment scenario'!$D$10:$W$10,0))</f>
        <v>1.5889430347629441</v>
      </c>
      <c r="W10" s="276">
        <f ca="1">INDEX(OFFSET('Adjustment scenario'!$D$1:$W$1,$D10-1,0),MATCH(W$4,'Adjustment scenario'!$D$10:$W$10,0))</f>
        <v>1.67339812237369</v>
      </c>
      <c r="X10" s="276">
        <f ca="1">INDEX(OFFSET('Adjustment scenario'!$D$1:$W$1,$D10-1,0),MATCH(X$4,'Adjustment scenario'!$D$10:$W$10,0))</f>
        <v>1.7632299215509257</v>
      </c>
      <c r="Y10" s="192"/>
    </row>
    <row r="11" spans="1:25" x14ac:dyDescent="0.2">
      <c r="A11" s="192"/>
      <c r="B11" s="283">
        <v>7</v>
      </c>
      <c r="C11" s="290" t="s">
        <v>66</v>
      </c>
      <c r="D11" s="288">
        <v>37</v>
      </c>
      <c r="E11" s="289" t="s">
        <v>159</v>
      </c>
      <c r="F11" s="276">
        <f ca="1">INDEX(OFFSET('Adjustment scenario'!$D$1:$W$1,$D11-1,0),MATCH(F$4,'Adjustment scenario'!$D$10:$W$10,0))</f>
        <v>2.79</v>
      </c>
      <c r="G11" s="276">
        <f ca="1">INDEX(OFFSET('Adjustment scenario'!$D$1:$W$1,$D11-1,0),MATCH(G$4,'Adjustment scenario'!$D$10:$W$10,0))</f>
        <v>2.7206269999999999</v>
      </c>
      <c r="H11" s="276">
        <f ca="1">INDEX(OFFSET('Adjustment scenario'!$D$1:$W$1,$D11-1,0),MATCH(H$4,'Adjustment scenario'!$D$10:$W$10,0))</f>
        <v>2.7825880000000001</v>
      </c>
      <c r="I11" s="276">
        <f ca="1">INDEX(OFFSET('Adjustment scenario'!$D$1:$W$1,$D11-1,0),MATCH(I$4,'Adjustment scenario'!$D$10:$W$10,0))</f>
        <v>2.7910632500000001</v>
      </c>
      <c r="J11" s="276">
        <f ca="1">INDEX(OFFSET('Adjustment scenario'!$D$1:$W$1,$D11-1,0),MATCH(J$4,'Adjustment scenario'!$D$10:$W$10,0))</f>
        <v>2.7995385000000002</v>
      </c>
      <c r="K11" s="276">
        <f ca="1">INDEX(OFFSET('Adjustment scenario'!$D$1:$W$1,$D11-1,0),MATCH(K$4,'Adjustment scenario'!$D$10:$W$10,0))</f>
        <v>2.8080137500000002</v>
      </c>
      <c r="L11" s="276">
        <f ca="1">INDEX(OFFSET('Adjustment scenario'!$D$1:$W$1,$D11-1,0),MATCH(L$4,'Adjustment scenario'!$D$10:$W$10,0))</f>
        <v>2.8164890000000002</v>
      </c>
      <c r="M11" s="276">
        <f ca="1">INDEX(OFFSET('Adjustment scenario'!$D$1:$W$1,$D11-1,0),MATCH(M$4,'Adjustment scenario'!$D$10:$W$10,0))</f>
        <v>2.8249642500000003</v>
      </c>
      <c r="N11" s="276">
        <f ca="1">INDEX(OFFSET('Adjustment scenario'!$D$1:$W$1,$D11-1,0),MATCH(N$4,'Adjustment scenario'!$D$10:$W$10,0))</f>
        <v>2.8334395000000003</v>
      </c>
      <c r="O11" s="276">
        <f ca="1">INDEX(OFFSET('Adjustment scenario'!$D$1:$W$1,$D11-1,0),MATCH(O$4,'Adjustment scenario'!$D$10:$W$10,0))</f>
        <v>2.8419147500000004</v>
      </c>
      <c r="P11" s="276">
        <f ca="1">INDEX(OFFSET('Adjustment scenario'!$D$1:$W$1,$D11-1,0),MATCH(P$4,'Adjustment scenario'!$D$10:$W$10,0))</f>
        <v>2.85039</v>
      </c>
      <c r="Q11" s="276">
        <f ca="1">INDEX(OFFSET('Adjustment scenario'!$D$1:$W$1,$D11-1,0),MATCH(Q$4,'Adjustment scenario'!$D$10:$W$10,0))</f>
        <v>2.9078705</v>
      </c>
      <c r="R11" s="276">
        <f ca="1">INDEX(OFFSET('Adjustment scenario'!$D$1:$W$1,$D11-1,0),MATCH(R$4,'Adjustment scenario'!$D$10:$W$10,0))</f>
        <v>2.9653510000000001</v>
      </c>
      <c r="S11" s="276">
        <f ca="1">INDEX(OFFSET('Adjustment scenario'!$D$1:$W$1,$D11-1,0),MATCH(S$4,'Adjustment scenario'!$D$10:$W$10,0))</f>
        <v>3.0228315000000001</v>
      </c>
      <c r="T11" s="276">
        <f ca="1">INDEX(OFFSET('Adjustment scenario'!$D$1:$W$1,$D11-1,0),MATCH(T$4,'Adjustment scenario'!$D$10:$W$10,0))</f>
        <v>3.0803120000000002</v>
      </c>
      <c r="U11" s="276">
        <f ca="1">INDEX(OFFSET('Adjustment scenario'!$D$1:$W$1,$D11-1,0),MATCH(U$4,'Adjustment scenario'!$D$10:$W$10,0))</f>
        <v>3.1377924999999998</v>
      </c>
      <c r="V11" s="276">
        <f ca="1">INDEX(OFFSET('Adjustment scenario'!$D$1:$W$1,$D11-1,0),MATCH(V$4,'Adjustment scenario'!$D$10:$W$10,0))</f>
        <v>3.1952730000000003</v>
      </c>
      <c r="W11" s="276">
        <f ca="1">INDEX(OFFSET('Adjustment scenario'!$D$1:$W$1,$D11-1,0),MATCH(W$4,'Adjustment scenario'!$D$10:$W$10,0))</f>
        <v>3.2527534999999999</v>
      </c>
      <c r="X11" s="276">
        <f ca="1">INDEX(OFFSET('Adjustment scenario'!$D$1:$W$1,$D11-1,0),MATCH(X$4,'Adjustment scenario'!$D$10:$W$10,0))</f>
        <v>3.3102339999999999</v>
      </c>
      <c r="Y11" s="192"/>
    </row>
    <row r="12" spans="1:25" x14ac:dyDescent="0.2">
      <c r="A12" s="192"/>
      <c r="B12" s="283">
        <v>8</v>
      </c>
      <c r="C12" s="290" t="s">
        <v>67</v>
      </c>
      <c r="D12" s="288">
        <v>38</v>
      </c>
      <c r="E12" s="289" t="s">
        <v>159</v>
      </c>
      <c r="F12" s="276">
        <f ca="1">INDEX(OFFSET('Adjustment scenario'!$D$1:$W$1,$D12-1,0),MATCH(F$4,'Adjustment scenario'!$D$10:$W$10,0))</f>
        <v>3.43</v>
      </c>
      <c r="G12" s="276">
        <f ca="1">INDEX(OFFSET('Adjustment scenario'!$D$1:$W$1,$D12-1,0),MATCH(G$4,'Adjustment scenario'!$D$10:$W$10,0))</f>
        <v>3.5642079999999998</v>
      </c>
      <c r="H12" s="276">
        <f ca="1">INDEX(OFFSET('Adjustment scenario'!$D$1:$W$1,$D12-1,0),MATCH(H$4,'Adjustment scenario'!$D$10:$W$10,0))</f>
        <v>2.8163749999999999</v>
      </c>
      <c r="I12" s="276">
        <f ca="1">INDEX(OFFSET('Adjustment scenario'!$D$1:$W$1,$D12-1,0),MATCH(I$4,'Adjustment scenario'!$D$10:$W$10,0))</f>
        <v>2.8050893749999997</v>
      </c>
      <c r="J12" s="276">
        <f ca="1">INDEX(OFFSET('Adjustment scenario'!$D$1:$W$1,$D12-1,0),MATCH(J$4,'Adjustment scenario'!$D$10:$W$10,0))</f>
        <v>2.7938037499999995</v>
      </c>
      <c r="K12" s="276">
        <f ca="1">INDEX(OFFSET('Adjustment scenario'!$D$1:$W$1,$D12-1,0),MATCH(K$4,'Adjustment scenario'!$D$10:$W$10,0))</f>
        <v>2.7825181249999993</v>
      </c>
      <c r="L12" s="276">
        <f ca="1">INDEX(OFFSET('Adjustment scenario'!$D$1:$W$1,$D12-1,0),MATCH(L$4,'Adjustment scenario'!$D$10:$W$10,0))</f>
        <v>2.7712324999999991</v>
      </c>
      <c r="M12" s="276">
        <f ca="1">INDEX(OFFSET('Adjustment scenario'!$D$1:$W$1,$D12-1,0),MATCH(M$4,'Adjustment scenario'!$D$10:$W$10,0))</f>
        <v>2.7599468749999989</v>
      </c>
      <c r="N12" s="276">
        <f ca="1">INDEX(OFFSET('Adjustment scenario'!$D$1:$W$1,$D12-1,0),MATCH(N$4,'Adjustment scenario'!$D$10:$W$10,0))</f>
        <v>2.7486612499999987</v>
      </c>
      <c r="O12" s="276">
        <f ca="1">INDEX(OFFSET('Adjustment scenario'!$D$1:$W$1,$D12-1,0),MATCH(O$4,'Adjustment scenario'!$D$10:$W$10,0))</f>
        <v>2.7373756249999985</v>
      </c>
      <c r="P12" s="276">
        <f ca="1">INDEX(OFFSET('Adjustment scenario'!$D$1:$W$1,$D12-1,0),MATCH(P$4,'Adjustment scenario'!$D$10:$W$10,0))</f>
        <v>2.7260900000000001</v>
      </c>
      <c r="Q12" s="276">
        <f ca="1">INDEX(OFFSET('Adjustment scenario'!$D$1:$W$1,$D12-1,0),MATCH(Q$4,'Adjustment scenario'!$D$10:$W$10,0))</f>
        <v>2.6897855000000002</v>
      </c>
      <c r="R12" s="276">
        <f ca="1">INDEX(OFFSET('Adjustment scenario'!$D$1:$W$1,$D12-1,0),MATCH(R$4,'Adjustment scenario'!$D$10:$W$10,0))</f>
        <v>2.6534810000000002</v>
      </c>
      <c r="S12" s="276">
        <f ca="1">INDEX(OFFSET('Adjustment scenario'!$D$1:$W$1,$D12-1,0),MATCH(S$4,'Adjustment scenario'!$D$10:$W$10,0))</f>
        <v>2.6171765000000002</v>
      </c>
      <c r="T12" s="276">
        <f ca="1">INDEX(OFFSET('Adjustment scenario'!$D$1:$W$1,$D12-1,0),MATCH(T$4,'Adjustment scenario'!$D$10:$W$10,0))</f>
        <v>2.5808720000000003</v>
      </c>
      <c r="U12" s="276">
        <f ca="1">INDEX(OFFSET('Adjustment scenario'!$D$1:$W$1,$D12-1,0),MATCH(U$4,'Adjustment scenario'!$D$10:$W$10,0))</f>
        <v>2.5445675000000003</v>
      </c>
      <c r="V12" s="276">
        <f ca="1">INDEX(OFFSET('Adjustment scenario'!$D$1:$W$1,$D12-1,0),MATCH(V$4,'Adjustment scenario'!$D$10:$W$10,0))</f>
        <v>2.5082629999999999</v>
      </c>
      <c r="W12" s="276">
        <f ca="1">INDEX(OFFSET('Adjustment scenario'!$D$1:$W$1,$D12-1,0),MATCH(W$4,'Adjustment scenario'!$D$10:$W$10,0))</f>
        <v>2.4719584999999999</v>
      </c>
      <c r="X12" s="276">
        <f ca="1">INDEX(OFFSET('Adjustment scenario'!$D$1:$W$1,$D12-1,0),MATCH(X$4,'Adjustment scenario'!$D$10:$W$10,0))</f>
        <v>2.435654</v>
      </c>
      <c r="Y12" s="192"/>
    </row>
    <row r="13" spans="1:25" x14ac:dyDescent="0.2">
      <c r="A13" s="192"/>
      <c r="B13" s="283">
        <v>9</v>
      </c>
      <c r="C13" s="287" t="s">
        <v>160</v>
      </c>
      <c r="D13" s="288">
        <v>36</v>
      </c>
      <c r="E13" s="289" t="s">
        <v>159</v>
      </c>
      <c r="F13" s="276">
        <f ca="1">INDEX(OFFSET('Adjustment scenario'!$D$1:$W$1,$D13-1,0),MATCH(F$4,'Adjustment scenario'!$D$10:$W$10,0))</f>
        <v>1.3576170000000001</v>
      </c>
      <c r="G13" s="276">
        <f ca="1">INDEX(OFFSET('Adjustment scenario'!$D$1:$W$1,$D13-1,0),MATCH(G$4,'Adjustment scenario'!$D$10:$W$10,0))</f>
        <v>1.5744320000000001</v>
      </c>
      <c r="H13" s="276">
        <f ca="1">INDEX(OFFSET('Adjustment scenario'!$D$1:$W$1,$D13-1,0),MATCH(H$4,'Adjustment scenario'!$D$10:$W$10,0))</f>
        <v>1.603952</v>
      </c>
      <c r="I13" s="276">
        <f ca="1">INDEX(OFFSET('Adjustment scenario'!$D$1:$W$1,$D13-1,0),MATCH(I$4,'Adjustment scenario'!$D$10:$W$10,0))</f>
        <v>1.7774600493041111</v>
      </c>
      <c r="J13" s="276">
        <f ca="1">INDEX(OFFSET('Adjustment scenario'!$D$1:$W$1,$D13-1,0),MATCH(J$4,'Adjustment scenario'!$D$10:$W$10,0))</f>
        <v>1.9068787269355749</v>
      </c>
      <c r="K13" s="276">
        <f ca="1">INDEX(OFFSET('Adjustment scenario'!$D$1:$W$1,$D13-1,0),MATCH(K$4,'Adjustment scenario'!$D$10:$W$10,0))</f>
        <v>2.0167109782312553</v>
      </c>
      <c r="L13" s="276">
        <f ca="1">INDEX(OFFSET('Adjustment scenario'!$D$1:$W$1,$D13-1,0),MATCH(L$4,'Adjustment scenario'!$D$10:$W$10,0))</f>
        <v>2.1127193249188929</v>
      </c>
      <c r="M13" s="276">
        <f ca="1">INDEX(OFFSET('Adjustment scenario'!$D$1:$W$1,$D13-1,0),MATCH(M$4,'Adjustment scenario'!$D$10:$W$10,0))</f>
        <v>2.2011495146745581</v>
      </c>
      <c r="N13" s="276">
        <f ca="1">INDEX(OFFSET('Adjustment scenario'!$D$1:$W$1,$D13-1,0),MATCH(N$4,'Adjustment scenario'!$D$10:$W$10,0))</f>
        <v>2.2822900452863868</v>
      </c>
      <c r="O13" s="276">
        <f ca="1">INDEX(OFFSET('Adjustment scenario'!$D$1:$W$1,$D13-1,0),MATCH(O$4,'Adjustment scenario'!$D$10:$W$10,0))</f>
        <v>2.3564645319633226</v>
      </c>
      <c r="P13" s="276">
        <f ca="1">INDEX(OFFSET('Adjustment scenario'!$D$1:$W$1,$D13-1,0),MATCH(P$4,'Adjustment scenario'!$D$10:$W$10,0))</f>
        <v>2.4237577777470087</v>
      </c>
      <c r="Q13" s="276">
        <f ca="1">INDEX(OFFSET('Adjustment scenario'!$D$1:$W$1,$D13-1,0),MATCH(Q$4,'Adjustment scenario'!$D$10:$W$10,0))</f>
        <v>2.4886298263802731</v>
      </c>
      <c r="R13" s="276">
        <f ca="1">INDEX(OFFSET('Adjustment scenario'!$D$1:$W$1,$D13-1,0),MATCH(R$4,'Adjustment scenario'!$D$10:$W$10,0))</f>
        <v>2.5525490768930288</v>
      </c>
      <c r="S13" s="276">
        <f ca="1">INDEX(OFFSET('Adjustment scenario'!$D$1:$W$1,$D13-1,0),MATCH(S$4,'Adjustment scenario'!$D$10:$W$10,0))</f>
        <v>2.6153036664749534</v>
      </c>
      <c r="T13" s="276">
        <f ca="1">INDEX(OFFSET('Adjustment scenario'!$D$1:$W$1,$D13-1,0),MATCH(T$4,'Adjustment scenario'!$D$10:$W$10,0))</f>
        <v>2.677102448144105</v>
      </c>
      <c r="U13" s="276">
        <f ca="1">INDEX(OFFSET('Adjustment scenario'!$D$1:$W$1,$D13-1,0),MATCH(U$4,'Adjustment scenario'!$D$10:$W$10,0))</f>
        <v>2.7380119857658762</v>
      </c>
      <c r="V13" s="276">
        <f ca="1">INDEX(OFFSET('Adjustment scenario'!$D$1:$W$1,$D13-1,0),MATCH(V$4,'Adjustment scenario'!$D$10:$W$10,0))</f>
        <v>2.7978576362050043</v>
      </c>
      <c r="W13" s="276">
        <f ca="1">INDEX(OFFSET('Adjustment scenario'!$D$1:$W$1,$D13-1,0),MATCH(W$4,'Adjustment scenario'!$D$10:$W$10,0))</f>
        <v>2.8567430554401976</v>
      </c>
      <c r="X13" s="276">
        <f ca="1">INDEX(OFFSET('Adjustment scenario'!$D$1:$W$1,$D13-1,0),MATCH(X$4,'Adjustment scenario'!$D$10:$W$10,0))</f>
        <v>2.9146838963784374</v>
      </c>
      <c r="Y13" s="192"/>
    </row>
    <row r="14" spans="1:25" x14ac:dyDescent="0.2">
      <c r="A14" s="192"/>
      <c r="B14" s="283">
        <v>10</v>
      </c>
      <c r="C14" s="287" t="s">
        <v>161</v>
      </c>
      <c r="D14" s="288">
        <v>72</v>
      </c>
      <c r="E14" s="289" t="s">
        <v>153</v>
      </c>
      <c r="F14" s="276">
        <f ca="1">INDEX(OFFSET('Adjustment scenario'!$D$1:$W$1,$D14-1,0),MATCH(F$4,'Adjustment scenario'!$D$10:$W$10,0))</f>
        <v>-0.33130660000000001</v>
      </c>
      <c r="G14" s="276">
        <f ca="1">INDEX(OFFSET('Adjustment scenario'!$D$1:$W$1,$D14-1,0),MATCH(G$4,'Adjustment scenario'!$D$10:$W$10,0))</f>
        <v>0.60000120000000001</v>
      </c>
      <c r="H14" s="276">
        <f ca="1">INDEX(OFFSET('Adjustment scenario'!$D$1:$W$1,$D14-1,0),MATCH(H$4,'Adjustment scenario'!$D$10:$W$10,0))</f>
        <v>0.89999770000000001</v>
      </c>
      <c r="I14" s="276">
        <f ca="1">INDEX(OFFSET('Adjustment scenario'!$D$1:$W$1,$D14-1,0),MATCH(I$4,'Adjustment scenario'!$D$10:$W$10,0))</f>
        <v>0</v>
      </c>
      <c r="J14" s="276">
        <f ca="1">INDEX(OFFSET('Adjustment scenario'!$D$1:$W$1,$D14-1,0),MATCH(J$4,'Adjustment scenario'!$D$10:$W$10,0))</f>
        <v>0</v>
      </c>
      <c r="K14" s="276">
        <f ca="1">INDEX(OFFSET('Adjustment scenario'!$D$1:$W$1,$D14-1,0),MATCH(K$4,'Adjustment scenario'!$D$10:$W$10,0))</f>
        <v>0</v>
      </c>
      <c r="L14" s="276">
        <f ca="1">INDEX(OFFSET('Adjustment scenario'!$D$1:$W$1,$D14-1,0),MATCH(L$4,'Adjustment scenario'!$D$10:$W$10,0))</f>
        <v>0</v>
      </c>
      <c r="M14" s="276">
        <f ca="1">INDEX(OFFSET('Adjustment scenario'!$D$1:$W$1,$D14-1,0),MATCH(M$4,'Adjustment scenario'!$D$10:$W$10,0))</f>
        <v>0</v>
      </c>
      <c r="N14" s="276">
        <f ca="1">INDEX(OFFSET('Adjustment scenario'!$D$1:$W$1,$D14-1,0),MATCH(N$4,'Adjustment scenario'!$D$10:$W$10,0))</f>
        <v>0</v>
      </c>
      <c r="O14" s="276">
        <f ca="1">INDEX(OFFSET('Adjustment scenario'!$D$1:$W$1,$D14-1,0),MATCH(O$4,'Adjustment scenario'!$D$10:$W$10,0))</f>
        <v>0</v>
      </c>
      <c r="P14" s="276">
        <f ca="1">INDEX(OFFSET('Adjustment scenario'!$D$1:$W$1,$D14-1,0),MATCH(P$4,'Adjustment scenario'!$D$10:$W$10,0))</f>
        <v>0</v>
      </c>
      <c r="Q14" s="276">
        <f ca="1">INDEX(OFFSET('Adjustment scenario'!$D$1:$W$1,$D14-1,0),MATCH(Q$4,'Adjustment scenario'!$D$10:$W$10,0))</f>
        <v>0</v>
      </c>
      <c r="R14" s="276">
        <f ca="1">INDEX(OFFSET('Adjustment scenario'!$D$1:$W$1,$D14-1,0),MATCH(R$4,'Adjustment scenario'!$D$10:$W$10,0))</f>
        <v>0</v>
      </c>
      <c r="S14" s="276">
        <f ca="1">INDEX(OFFSET('Adjustment scenario'!$D$1:$W$1,$D14-1,0),MATCH(S$4,'Adjustment scenario'!$D$10:$W$10,0))</f>
        <v>0</v>
      </c>
      <c r="T14" s="276">
        <f ca="1">INDEX(OFFSET('Adjustment scenario'!$D$1:$W$1,$D14-1,0),MATCH(T$4,'Adjustment scenario'!$D$10:$W$10,0))</f>
        <v>0</v>
      </c>
      <c r="U14" s="276">
        <f ca="1">INDEX(OFFSET('Adjustment scenario'!$D$1:$W$1,$D14-1,0),MATCH(U$4,'Adjustment scenario'!$D$10:$W$10,0))</f>
        <v>0</v>
      </c>
      <c r="V14" s="276">
        <f ca="1">INDEX(OFFSET('Adjustment scenario'!$D$1:$W$1,$D14-1,0),MATCH(V$4,'Adjustment scenario'!$D$10:$W$10,0))</f>
        <v>0</v>
      </c>
      <c r="W14" s="276">
        <f ca="1">INDEX(OFFSET('Adjustment scenario'!$D$1:$W$1,$D14-1,0),MATCH(W$4,'Adjustment scenario'!$D$10:$W$10,0))</f>
        <v>0</v>
      </c>
      <c r="X14" s="276">
        <f ca="1">INDEX(OFFSET('Adjustment scenario'!$D$1:$W$1,$D14-1,0),MATCH(X$4,'Adjustment scenario'!$D$10:$W$10,0))</f>
        <v>0</v>
      </c>
      <c r="Y14" s="192"/>
    </row>
    <row r="15" spans="1:25" x14ac:dyDescent="0.2">
      <c r="A15" s="192"/>
      <c r="B15" s="283">
        <v>11</v>
      </c>
      <c r="C15" s="291" t="s">
        <v>40</v>
      </c>
      <c r="D15" s="288">
        <v>27</v>
      </c>
      <c r="E15" s="289" t="s">
        <v>162</v>
      </c>
      <c r="F15" s="276">
        <f ca="1">(INDEX(OFFSET('Adjustment scenario'!$D$1:$W$1,$D15-1,0),MATCH(F$4,'Adjustment scenario'!$D$10:$W$10,0))/INDEX(OFFSET('Adjustment scenario'!$D$1:$W$1,$D15-1,0),MATCH(E$4,'Adjustment scenario'!$D$10:$W$10,0))-1)*100</f>
        <v>2.1249990000000052</v>
      </c>
      <c r="G15" s="276">
        <f ca="1">(INDEX(OFFSET('Adjustment scenario'!$D$1:$W$1,$D15-1,0),MATCH(G$4,'Adjustment scenario'!$D$10:$W$10,0))/INDEX(OFFSET('Adjustment scenario'!$D$1:$W$1,$D15-1,0),MATCH(F$4,'Adjustment scenario'!$D$10:$W$10,0))-1)*100</f>
        <v>1.8270709999999912</v>
      </c>
      <c r="H15" s="276">
        <f ca="1">(INDEX(OFFSET('Adjustment scenario'!$D$1:$W$1,$D15-1,0),MATCH(H$4,'Adjustment scenario'!$D$10:$W$10,0))/INDEX(OFFSET('Adjustment scenario'!$D$1:$W$1,$D15-1,0),MATCH(G$4,'Adjustment scenario'!$D$10:$W$10,0))-1)*100</f>
        <v>1.6647529999999966</v>
      </c>
      <c r="I15" s="276">
        <f ca="1">(INDEX(OFFSET('Adjustment scenario'!$D$1:$W$1,$D15-1,0),MATCH(I$4,'Adjustment scenario'!$D$10:$W$10,0))/INDEX(OFFSET('Adjustment scenario'!$D$1:$W$1,$D15-1,0),MATCH(H$4,'Adjustment scenario'!$D$10:$W$10,0))-1)*100</f>
        <v>1.4174410000000082</v>
      </c>
      <c r="J15" s="276">
        <f ca="1">(INDEX(OFFSET('Adjustment scenario'!$D$1:$W$1,$D15-1,0),MATCH(J$4,'Adjustment scenario'!$D$10:$W$10,0))/INDEX(OFFSET('Adjustment scenario'!$D$1:$W$1,$D15-1,0),MATCH(I$4,'Adjustment scenario'!$D$10:$W$10,0))-1)*100</f>
        <v>1.1267890000000058</v>
      </c>
      <c r="K15" s="276">
        <f ca="1">(INDEX(OFFSET('Adjustment scenario'!$D$1:$W$1,$D15-1,0),MATCH(K$4,'Adjustment scenario'!$D$10:$W$10,0))/INDEX(OFFSET('Adjustment scenario'!$D$1:$W$1,$D15-1,0),MATCH(J$4,'Adjustment scenario'!$D$10:$W$10,0))-1)*100</f>
        <v>1.0689179999999965</v>
      </c>
      <c r="L15" s="276">
        <f ca="1">(INDEX(OFFSET('Adjustment scenario'!$D$1:$W$1,$D15-1,0),MATCH(L$4,'Adjustment scenario'!$D$10:$W$10,0))/INDEX(OFFSET('Adjustment scenario'!$D$1:$W$1,$D15-1,0),MATCH(K$4,'Adjustment scenario'!$D$10:$W$10,0))-1)*100</f>
        <v>1.0625859999999987</v>
      </c>
      <c r="M15" s="276">
        <f ca="1">(INDEX(OFFSET('Adjustment scenario'!$D$1:$W$1,$D15-1,0),MATCH(M$4,'Adjustment scenario'!$D$10:$W$10,0))/INDEX(OFFSET('Adjustment scenario'!$D$1:$W$1,$D15-1,0),MATCH(L$4,'Adjustment scenario'!$D$10:$W$10,0))-1)*100</f>
        <v>1.0326730000000062</v>
      </c>
      <c r="N15" s="276">
        <f ca="1">(INDEX(OFFSET('Adjustment scenario'!$D$1:$W$1,$D15-1,0),MATCH(N$4,'Adjustment scenario'!$D$10:$W$10,0))/INDEX(OFFSET('Adjustment scenario'!$D$1:$W$1,$D15-1,0),MATCH(M$4,'Adjustment scenario'!$D$10:$W$10,0))-1)*100</f>
        <v>0.99758860000001004</v>
      </c>
      <c r="O15" s="276">
        <f ca="1">(INDEX(OFFSET('Adjustment scenario'!$D$1:$W$1,$D15-1,0),MATCH(O$4,'Adjustment scenario'!$D$10:$W$10,0))/INDEX(OFFSET('Adjustment scenario'!$D$1:$W$1,$D15-1,0),MATCH(N$4,'Adjustment scenario'!$D$10:$W$10,0))-1)*100</f>
        <v>0.97505430000000004</v>
      </c>
      <c r="P15" s="276">
        <f ca="1">(INDEX(OFFSET('Adjustment scenario'!$D$1:$W$1,$D15-1,0),MATCH(P$4,'Adjustment scenario'!$D$10:$W$10,0))/INDEX(OFFSET('Adjustment scenario'!$D$1:$W$1,$D15-1,0),MATCH(O$4,'Adjustment scenario'!$D$10:$W$10,0))-1)*100</f>
        <v>0.98748060000000137</v>
      </c>
      <c r="Q15" s="276">
        <f ca="1">(INDEX(OFFSET('Adjustment scenario'!$D$1:$W$1,$D15-1,0),MATCH(Q$4,'Adjustment scenario'!$D$10:$W$10,0))/INDEX(OFFSET('Adjustment scenario'!$D$1:$W$1,$D15-1,0),MATCH(P$4,'Adjustment scenario'!$D$10:$W$10,0))-1)*100</f>
        <v>1.0150059999999961</v>
      </c>
      <c r="R15" s="276">
        <f ca="1">(INDEX(OFFSET('Adjustment scenario'!$D$1:$W$1,$D15-1,0),MATCH(R$4,'Adjustment scenario'!$D$10:$W$10,0))/INDEX(OFFSET('Adjustment scenario'!$D$1:$W$1,$D15-1,0),MATCH(Q$4,'Adjustment scenario'!$D$10:$W$10,0))-1)*100</f>
        <v>1.042531999999996</v>
      </c>
      <c r="S15" s="276">
        <f ca="1">(INDEX(OFFSET('Adjustment scenario'!$D$1:$W$1,$D15-1,0),MATCH(S$4,'Adjustment scenario'!$D$10:$W$10,0))/INDEX(OFFSET('Adjustment scenario'!$D$1:$W$1,$D15-1,0),MATCH(R$4,'Adjustment scenario'!$D$10:$W$10,0))-1)*100</f>
        <v>1.070057999999996</v>
      </c>
      <c r="T15" s="276">
        <f ca="1">(INDEX(OFFSET('Adjustment scenario'!$D$1:$W$1,$D15-1,0),MATCH(T$4,'Adjustment scenario'!$D$10:$W$10,0))/INDEX(OFFSET('Adjustment scenario'!$D$1:$W$1,$D15-1,0),MATCH(S$4,'Adjustment scenario'!$D$10:$W$10,0))-1)*100</f>
        <v>1.1798299999999928</v>
      </c>
      <c r="U15" s="276">
        <f ca="1">(INDEX(OFFSET('Adjustment scenario'!$D$1:$W$1,$D15-1,0),MATCH(U$4,'Adjustment scenario'!$D$10:$W$10,0))/INDEX(OFFSET('Adjustment scenario'!$D$1:$W$1,$D15-1,0),MATCH(T$4,'Adjustment scenario'!$D$10:$W$10,0))-1)*100</f>
        <v>1.2857679999999982</v>
      </c>
      <c r="V15" s="276">
        <f ca="1">(INDEX(OFFSET('Adjustment scenario'!$D$1:$W$1,$D15-1,0),MATCH(V$4,'Adjustment scenario'!$D$10:$W$10,0))/INDEX(OFFSET('Adjustment scenario'!$D$1:$W$1,$D15-1,0),MATCH(U$4,'Adjustment scenario'!$D$10:$W$10,0))-1)*100</f>
        <v>1.4476530000000043</v>
      </c>
      <c r="W15" s="276">
        <f ca="1">(INDEX(OFFSET('Adjustment scenario'!$D$1:$W$1,$D15-1,0),MATCH(W$4,'Adjustment scenario'!$D$10:$W$10,0))/INDEX(OFFSET('Adjustment scenario'!$D$1:$W$1,$D15-1,0),MATCH(V$4,'Adjustment scenario'!$D$10:$W$10,0))-1)*100</f>
        <v>1.6124210000000083</v>
      </c>
      <c r="X15" s="276">
        <f ca="1">(INDEX(OFFSET('Adjustment scenario'!$D$1:$W$1,$D15-1,0),MATCH(X$4,'Adjustment scenario'!$D$10:$W$10,0))/INDEX(OFFSET('Adjustment scenario'!$D$1:$W$1,$D15-1,0),MATCH(W$4,'Adjustment scenario'!$D$10:$W$10,0))-1)*100</f>
        <v>1.6644220000000098</v>
      </c>
      <c r="Y15" s="192"/>
    </row>
    <row r="16" spans="1:25" x14ac:dyDescent="0.2">
      <c r="A16" s="192"/>
      <c r="B16" s="283">
        <v>12</v>
      </c>
      <c r="C16" s="279" t="s">
        <v>163</v>
      </c>
      <c r="D16" s="288">
        <v>24</v>
      </c>
      <c r="E16" s="289" t="s">
        <v>162</v>
      </c>
      <c r="F16" s="276">
        <f ca="1">INDEX(OFFSET('Adjustment scenario'!$D$1:$W$1,$D16-1,0),MATCH(F$4,'Adjustment scenario'!$D$10:$W$10,0))</f>
        <v>9.7021999999999997E-2</v>
      </c>
      <c r="G16" s="276">
        <f ca="1">INDEX(OFFSET('Adjustment scenario'!$D$1:$W$1,$D16-1,0),MATCH(G$4,'Adjustment scenario'!$D$10:$W$10,0))</f>
        <v>0.76041639999999999</v>
      </c>
      <c r="H16" s="276">
        <f ca="1">INDEX(OFFSET('Adjustment scenario'!$D$1:$W$1,$D16-1,0),MATCH(H$4,'Adjustment scenario'!$D$10:$W$10,0))</f>
        <v>1.4546490000000079</v>
      </c>
      <c r="I16" s="276">
        <f ca="1">INDEX(OFFSET('Adjustment scenario'!$D$1:$W$1,$D16-1,0),MATCH(I$4,'Adjustment scenario'!$D$10:$W$10,0))</f>
        <v>1.8523499999999915</v>
      </c>
      <c r="J16" s="276">
        <f ca="1">INDEX(OFFSET('Adjustment scenario'!$D$1:$W$1,$D16-1,0),MATCH(J$4,'Adjustment scenario'!$D$10:$W$10,0))</f>
        <v>1.7025400000000079</v>
      </c>
      <c r="K16" s="276">
        <f ca="1">INDEX(OFFSET('Adjustment scenario'!$D$1:$W$1,$D16-1,0),MATCH(K$4,'Adjustment scenario'!$D$10:$W$10,0))</f>
        <v>1.3549959999999972</v>
      </c>
      <c r="L16" s="276">
        <f ca="1">INDEX(OFFSET('Adjustment scenario'!$D$1:$W$1,$D16-1,0),MATCH(L$4,'Adjustment scenario'!$D$10:$W$10,0))</f>
        <v>1.0625850000000048</v>
      </c>
      <c r="M16" s="276">
        <f ca="1">INDEX(OFFSET('Adjustment scenario'!$D$1:$W$1,$D16-1,0),MATCH(M$4,'Adjustment scenario'!$D$10:$W$10,0))</f>
        <v>1.032674999999994</v>
      </c>
      <c r="N16" s="276">
        <f ca="1">INDEX(OFFSET('Adjustment scenario'!$D$1:$W$1,$D16-1,0),MATCH(N$4,'Adjustment scenario'!$D$10:$W$10,0))</f>
        <v>0.99759059999999788</v>
      </c>
      <c r="O16" s="276">
        <f ca="1">INDEX(OFFSET('Adjustment scenario'!$D$1:$W$1,$D16-1,0),MATCH(O$4,'Adjustment scenario'!$D$10:$W$10,0))</f>
        <v>0.97505749999999836</v>
      </c>
      <c r="P16" s="276">
        <f ca="1">INDEX(OFFSET('Adjustment scenario'!$D$1:$W$1,$D16-1,0),MATCH(P$4,'Adjustment scenario'!$D$10:$W$10,0))</f>
        <v>0.9874815999999953</v>
      </c>
      <c r="Q16" s="276">
        <f ca="1">INDEX(OFFSET('Adjustment scenario'!$D$1:$W$1,$D16-1,0),MATCH(Q$4,'Adjustment scenario'!$D$10:$W$10,0))</f>
        <v>1.0150080000000061</v>
      </c>
      <c r="R16" s="276">
        <f ca="1">INDEX(OFFSET('Adjustment scenario'!$D$1:$W$1,$D16-1,0),MATCH(R$4,'Adjustment scenario'!$D$10:$W$10,0))</f>
        <v>1.0425329999999899</v>
      </c>
      <c r="S16" s="276">
        <f ca="1">INDEX(OFFSET('Adjustment scenario'!$D$1:$W$1,$D16-1,0),MATCH(S$4,'Adjustment scenario'!$D$10:$W$10,0))</f>
        <v>1.070057000000002</v>
      </c>
      <c r="T16" s="276">
        <f ca="1">INDEX(OFFSET('Adjustment scenario'!$D$1:$W$1,$D16-1,0),MATCH(T$4,'Adjustment scenario'!$D$10:$W$10,0))</f>
        <v>1.1798269999999889</v>
      </c>
      <c r="U16" s="276">
        <f ca="1">INDEX(OFFSET('Adjustment scenario'!$D$1:$W$1,$D16-1,0),MATCH(U$4,'Adjustment scenario'!$D$10:$W$10,0))</f>
        <v>1.2857700000000083</v>
      </c>
      <c r="V16" s="276">
        <f ca="1">INDEX(OFFSET('Adjustment scenario'!$D$1:$W$1,$D16-1,0),MATCH(V$4,'Adjustment scenario'!$D$10:$W$10,0))</f>
        <v>1.4476530000000043</v>
      </c>
      <c r="W16" s="276">
        <f ca="1">INDEX(OFFSET('Adjustment scenario'!$D$1:$W$1,$D16-1,0),MATCH(W$4,'Adjustment scenario'!$D$10:$W$10,0))</f>
        <v>1.6124210000000083</v>
      </c>
      <c r="X16" s="276">
        <f ca="1">INDEX(OFFSET('Adjustment scenario'!$D$1:$W$1,$D16-1,0),MATCH(X$4,'Adjustment scenario'!$D$10:$W$10,0))</f>
        <v>1.6644230000000038</v>
      </c>
      <c r="Y16" s="192"/>
    </row>
    <row r="17" spans="1:25" x14ac:dyDescent="0.2">
      <c r="A17" s="192"/>
      <c r="B17" s="283">
        <v>13</v>
      </c>
      <c r="C17" s="292" t="s">
        <v>164</v>
      </c>
      <c r="D17" s="288">
        <v>42</v>
      </c>
      <c r="E17" s="289" t="s">
        <v>162</v>
      </c>
      <c r="F17" s="276">
        <f ca="1">INDEX(OFFSET('Adjustment scenario'!$D$1:$W$1,$D17-1,0),MATCH(F$4,'Adjustment scenario'!$D$10:$W$10,0))</f>
        <v>7.7757829999999997</v>
      </c>
      <c r="G17" s="276">
        <f ca="1">INDEX(OFFSET('Adjustment scenario'!$D$1:$W$1,$D17-1,0),MATCH(G$4,'Adjustment scenario'!$D$10:$W$10,0))</f>
        <v>3.72648</v>
      </c>
      <c r="H17" s="276">
        <f ca="1">INDEX(OFFSET('Adjustment scenario'!$D$1:$W$1,$D17-1,0),MATCH(H$4,'Adjustment scenario'!$D$10:$W$10,0))</f>
        <v>2.2520359999999999</v>
      </c>
      <c r="I17" s="276">
        <f ca="1">INDEX(OFFSET('Adjustment scenario'!$D$1:$W$1,$D17-1,0),MATCH(I$4,'Adjustment scenario'!$D$10:$W$10,0))</f>
        <v>2.2892815</v>
      </c>
      <c r="J17" s="276">
        <f ca="1">INDEX(OFFSET('Adjustment scenario'!$D$1:$W$1,$D17-1,0),MATCH(J$4,'Adjustment scenario'!$D$10:$W$10,0))</f>
        <v>2.326527</v>
      </c>
      <c r="K17" s="276">
        <f ca="1">INDEX(OFFSET('Adjustment scenario'!$D$1:$W$1,$D17-1,0),MATCH(K$4,'Adjustment scenario'!$D$10:$W$10,0))</f>
        <v>2.3637725000000001</v>
      </c>
      <c r="L17" s="276">
        <f ca="1">INDEX(OFFSET('Adjustment scenario'!$D$1:$W$1,$D17-1,0),MATCH(L$4,'Adjustment scenario'!$D$10:$W$10,0))</f>
        <v>2.4010179999999997</v>
      </c>
      <c r="M17" s="276">
        <f ca="1">INDEX(OFFSET('Adjustment scenario'!$D$1:$W$1,$D17-1,0),MATCH(M$4,'Adjustment scenario'!$D$10:$W$10,0))</f>
        <v>2.4382634999999997</v>
      </c>
      <c r="N17" s="276">
        <f ca="1">INDEX(OFFSET('Adjustment scenario'!$D$1:$W$1,$D17-1,0),MATCH(N$4,'Adjustment scenario'!$D$10:$W$10,0))</f>
        <v>2.4755089999999997</v>
      </c>
      <c r="O17" s="276">
        <f ca="1">INDEX(OFFSET('Adjustment scenario'!$D$1:$W$1,$D17-1,0),MATCH(O$4,'Adjustment scenario'!$D$10:$W$10,0))</f>
        <v>2.5127544999999998</v>
      </c>
      <c r="P17" s="276">
        <f ca="1">INDEX(OFFSET('Adjustment scenario'!$D$1:$W$1,$D17-1,0),MATCH(P$4,'Adjustment scenario'!$D$10:$W$10,0))</f>
        <v>2.5499999999999998</v>
      </c>
      <c r="Q17" s="276">
        <f ca="1">INDEX(OFFSET('Adjustment scenario'!$D$1:$W$1,$D17-1,0),MATCH(Q$4,'Adjustment scenario'!$D$10:$W$10,0))</f>
        <v>2.5225</v>
      </c>
      <c r="R17" s="276">
        <f ca="1">INDEX(OFFSET('Adjustment scenario'!$D$1:$W$1,$D17-1,0),MATCH(R$4,'Adjustment scenario'!$D$10:$W$10,0))</f>
        <v>2.4949999999999997</v>
      </c>
      <c r="S17" s="276">
        <f ca="1">INDEX(OFFSET('Adjustment scenario'!$D$1:$W$1,$D17-1,0),MATCH(S$4,'Adjustment scenario'!$D$10:$W$10,0))</f>
        <v>2.4674999999999998</v>
      </c>
      <c r="T17" s="276">
        <f ca="1">INDEX(OFFSET('Adjustment scenario'!$D$1:$W$1,$D17-1,0),MATCH(T$4,'Adjustment scenario'!$D$10:$W$10,0))</f>
        <v>2.44</v>
      </c>
      <c r="U17" s="276">
        <f ca="1">INDEX(OFFSET('Adjustment scenario'!$D$1:$W$1,$D17-1,0),MATCH(U$4,'Adjustment scenario'!$D$10:$W$10,0))</f>
        <v>2.4124999999999996</v>
      </c>
      <c r="V17" s="276">
        <f ca="1">INDEX(OFFSET('Adjustment scenario'!$D$1:$W$1,$D17-1,0),MATCH(V$4,'Adjustment scenario'!$D$10:$W$10,0))</f>
        <v>2.3849999999999998</v>
      </c>
      <c r="W17" s="276">
        <f ca="1">INDEX(OFFSET('Adjustment scenario'!$D$1:$W$1,$D17-1,0),MATCH(W$4,'Adjustment scenario'!$D$10:$W$10,0))</f>
        <v>2.3574999999999999</v>
      </c>
      <c r="X17" s="276">
        <f ca="1">INDEX(OFFSET('Adjustment scenario'!$D$1:$W$1,$D17-1,0),MATCH(X$4,'Adjustment scenario'!$D$10:$W$10,0))</f>
        <v>2.33</v>
      </c>
      <c r="Y17" s="192"/>
    </row>
    <row r="18" spans="1:25" x14ac:dyDescent="0.2">
      <c r="A18" s="192"/>
      <c r="B18" s="283">
        <v>14</v>
      </c>
      <c r="C18" s="279" t="s">
        <v>165</v>
      </c>
      <c r="D18" s="288">
        <v>33</v>
      </c>
      <c r="E18" s="289" t="s">
        <v>162</v>
      </c>
      <c r="F18" s="276">
        <f ca="1">INDEX(OFFSET('Adjustment scenario'!$D$1:$W$1,$D18-1,0),MATCH(F$4,'Adjustment scenario'!$D$10:$W$10,0))</f>
        <v>7.8803492201822367</v>
      </c>
      <c r="G18" s="276">
        <f ca="1">INDEX(OFFSET('Adjustment scenario'!$D$1:$W$1,$D18-1,0),MATCH(G$4,'Adjustment scenario'!$D$10:$W$10,0))</f>
        <v>4.5152331650627264</v>
      </c>
      <c r="H18" s="276">
        <f ca="1">INDEX(OFFSET('Adjustment scenario'!$D$1:$W$1,$D18-1,0),MATCH(H$4,'Adjustment scenario'!$D$10:$W$10,0))</f>
        <v>3.7394442191536426</v>
      </c>
      <c r="I18" s="276">
        <f ca="1">INDEX(OFFSET('Adjustment scenario'!$D$1:$W$1,$D18-1,0),MATCH(I$4,'Adjustment scenario'!$D$10:$W$10,0))</f>
        <v>4.1840370058652487</v>
      </c>
      <c r="J18" s="276">
        <f ca="1">INDEX(OFFSET('Adjustment scenario'!$D$1:$W$1,$D18-1,0),MATCH(J$4,'Adjustment scenario'!$D$10:$W$10,0))</f>
        <v>4.0686770527858185</v>
      </c>
      <c r="K18" s="276">
        <f ca="1">INDEX(OFFSET('Adjustment scenario'!$D$1:$W$1,$D18-1,0),MATCH(K$4,'Adjustment scenario'!$D$10:$W$10,0))</f>
        <v>3.7507975228241008</v>
      </c>
      <c r="L18" s="276">
        <f ca="1">INDEX(OFFSET('Adjustment scenario'!$D$1:$W$1,$D18-1,0),MATCH(L$4,'Adjustment scenario'!$D$10:$W$10,0))</f>
        <v>3.4891158571153102</v>
      </c>
      <c r="M18" s="276">
        <f ca="1">INDEX(OFFSET('Adjustment scenario'!$D$1:$W$1,$D18-1,0),MATCH(M$4,'Adjustment scenario'!$D$10:$W$10,0))</f>
        <v>3.4961178375986224</v>
      </c>
      <c r="N18" s="276">
        <f ca="1">INDEX(OFFSET('Adjustment scenario'!$D$1:$W$1,$D18-1,0),MATCH(N$4,'Adjustment scenario'!$D$10:$W$10,0))</f>
        <v>3.4977950450861606</v>
      </c>
      <c r="O18" s="276">
        <f ca="1">INDEX(OFFSET('Adjustment scenario'!$D$1:$W$1,$D18-1,0),MATCH(O$4,'Adjustment scenario'!$D$10:$W$10,0))</f>
        <v>3.5123128012088278</v>
      </c>
      <c r="P18" s="276">
        <f ca="1">INDEX(OFFSET('Adjustment scenario'!$D$1:$W$1,$D18-1,0),MATCH(P$4,'Adjustment scenario'!$D$10:$W$10,0))</f>
        <v>3.562662380800008</v>
      </c>
      <c r="Q18" s="276">
        <f ca="1">INDEX(OFFSET('Adjustment scenario'!$D$1:$W$1,$D18-1,0),MATCH(Q$4,'Adjustment scenario'!$D$10:$W$10,0))</f>
        <v>3.5631115768000043</v>
      </c>
      <c r="R18" s="276">
        <f ca="1">INDEX(OFFSET('Adjustment scenario'!$D$1:$W$1,$D18-1,0),MATCH(R$4,'Adjustment scenario'!$D$10:$W$10,0))</f>
        <v>3.5635441983499883</v>
      </c>
      <c r="S18" s="276">
        <f ca="1">INDEX(OFFSET('Adjustment scenario'!$D$1:$W$1,$D18-1,0),MATCH(S$4,'Adjustment scenario'!$D$10:$W$10,0))</f>
        <v>3.5639606564749959</v>
      </c>
      <c r="T18" s="276">
        <f ca="1">INDEX(OFFSET('Adjustment scenario'!$D$1:$W$1,$D18-1,0),MATCH(T$4,'Adjustment scenario'!$D$10:$W$10,0))</f>
        <v>3.6486147787999856</v>
      </c>
      <c r="U18" s="276">
        <f ca="1">INDEX(OFFSET('Adjustment scenario'!$D$1:$W$1,$D18-1,0),MATCH(U$4,'Adjustment scenario'!$D$10:$W$10,0))</f>
        <v>3.7292892012499967</v>
      </c>
      <c r="V18" s="276">
        <f ca="1">INDEX(OFFSET('Adjustment scenario'!$D$1:$W$1,$D18-1,0),MATCH(V$4,'Adjustment scenario'!$D$10:$W$10,0))</f>
        <v>3.8671795240500018</v>
      </c>
      <c r="W18" s="276">
        <f ca="1">INDEX(OFFSET('Adjustment scenario'!$D$1:$W$1,$D18-1,0),MATCH(W$4,'Adjustment scenario'!$D$10:$W$10,0))</f>
        <v>4.0079338250750052</v>
      </c>
      <c r="X18" s="276">
        <f ca="1">INDEX(OFFSET('Adjustment scenario'!$D$1:$W$1,$D18-1,0),MATCH(X$4,'Adjustment scenario'!$D$10:$W$10,0))</f>
        <v>4.0332040559000193</v>
      </c>
      <c r="Y18" s="192"/>
    </row>
    <row r="19" spans="1:25" x14ac:dyDescent="0.2">
      <c r="A19" s="192"/>
      <c r="B19" s="277"/>
      <c r="C19" s="298"/>
      <c r="D19" s="298"/>
      <c r="E19" s="298"/>
      <c r="F19" s="298"/>
      <c r="G19" s="298"/>
      <c r="H19" s="298"/>
      <c r="I19" s="298"/>
      <c r="J19" s="298"/>
      <c r="K19" s="192"/>
      <c r="L19" s="192"/>
      <c r="M19" s="192"/>
      <c r="N19" s="192"/>
      <c r="O19" s="192"/>
      <c r="P19" s="192"/>
      <c r="Q19" s="192"/>
      <c r="R19" s="192"/>
      <c r="S19" s="192"/>
      <c r="T19" s="192"/>
      <c r="U19" s="192"/>
      <c r="V19" s="192"/>
      <c r="W19" s="192"/>
      <c r="X19" s="192"/>
      <c r="Y19" s="192"/>
    </row>
    <row r="20" spans="1:25" x14ac:dyDescent="0.2">
      <c r="A20" s="192"/>
      <c r="B20" s="299"/>
      <c r="C20" s="281" t="s">
        <v>166</v>
      </c>
      <c r="D20" s="282"/>
      <c r="E20" s="282"/>
      <c r="F20" s="282"/>
      <c r="G20" s="298"/>
      <c r="H20" s="298"/>
      <c r="I20" s="298"/>
      <c r="J20" s="298"/>
      <c r="K20" s="192"/>
      <c r="L20" s="192"/>
      <c r="M20" s="192"/>
      <c r="N20" s="192"/>
      <c r="O20" s="192"/>
      <c r="P20" s="192"/>
      <c r="Q20" s="192"/>
      <c r="R20" s="192"/>
      <c r="S20" s="192"/>
      <c r="T20" s="192"/>
      <c r="U20" s="192"/>
      <c r="V20" s="192"/>
      <c r="W20" s="192"/>
      <c r="X20" s="192"/>
      <c r="Y20" s="192"/>
    </row>
    <row r="21" spans="1:25" x14ac:dyDescent="0.2">
      <c r="A21" s="192"/>
      <c r="B21" s="277"/>
      <c r="C21" s="298"/>
      <c r="D21" s="298"/>
      <c r="E21" s="298"/>
      <c r="F21" s="298"/>
      <c r="G21" s="298"/>
      <c r="H21" s="298"/>
      <c r="I21" s="298"/>
      <c r="J21" s="298"/>
      <c r="K21" s="192"/>
      <c r="L21" s="192"/>
      <c r="M21" s="192"/>
      <c r="N21" s="192"/>
      <c r="O21" s="192"/>
      <c r="P21" s="192"/>
      <c r="Q21" s="192"/>
      <c r="R21" s="192"/>
      <c r="S21" s="192"/>
      <c r="T21" s="192"/>
      <c r="U21" s="192"/>
      <c r="V21" s="192"/>
      <c r="W21" s="192"/>
      <c r="X21" s="192"/>
      <c r="Y21" s="192"/>
    </row>
    <row r="22" spans="1:25" x14ac:dyDescent="0.2">
      <c r="A22" s="192"/>
      <c r="B22" s="283"/>
      <c r="C22" s="281" t="s">
        <v>12</v>
      </c>
      <c r="D22" s="281"/>
      <c r="E22" s="285">
        <f>F22-1</f>
        <v>-1</v>
      </c>
      <c r="F22" s="286"/>
      <c r="G22" s="286"/>
      <c r="H22" s="286"/>
      <c r="I22" s="286"/>
      <c r="J22" s="286"/>
      <c r="K22" s="286"/>
      <c r="L22" s="286"/>
      <c r="M22" s="286"/>
      <c r="N22" s="286"/>
      <c r="O22" s="286"/>
      <c r="P22" s="286"/>
      <c r="Q22" s="286"/>
      <c r="R22" s="286"/>
      <c r="S22" s="286"/>
      <c r="T22" s="286"/>
      <c r="U22" s="286"/>
      <c r="V22" s="286"/>
      <c r="W22" s="286"/>
      <c r="X22" s="286"/>
      <c r="Y22" s="192"/>
    </row>
    <row r="23" spans="1:25" x14ac:dyDescent="0.2">
      <c r="A23" s="192"/>
      <c r="B23" s="283">
        <v>1</v>
      </c>
      <c r="C23" s="287" t="s">
        <v>152</v>
      </c>
      <c r="D23" s="288">
        <v>56</v>
      </c>
      <c r="E23" s="289" t="s">
        <v>153</v>
      </c>
      <c r="F23" s="276"/>
      <c r="G23" s="276"/>
      <c r="H23" s="276"/>
      <c r="I23" s="276"/>
      <c r="J23" s="276"/>
      <c r="K23" s="276"/>
      <c r="L23" s="276"/>
      <c r="M23" s="276"/>
      <c r="N23" s="276"/>
      <c r="O23" s="276"/>
      <c r="P23" s="276"/>
      <c r="Q23" s="276"/>
      <c r="R23" s="276"/>
      <c r="S23" s="276"/>
      <c r="T23" s="276"/>
      <c r="U23" s="276"/>
      <c r="V23" s="276"/>
      <c r="W23" s="276"/>
      <c r="X23" s="276"/>
      <c r="Y23" s="192"/>
    </row>
    <row r="24" spans="1:25" x14ac:dyDescent="0.2">
      <c r="A24" s="192"/>
      <c r="B24" s="283">
        <v>2</v>
      </c>
      <c r="C24" s="287" t="s">
        <v>66</v>
      </c>
      <c r="D24" s="288">
        <v>36</v>
      </c>
      <c r="E24" s="289" t="s">
        <v>159</v>
      </c>
      <c r="F24" s="276"/>
      <c r="G24" s="276"/>
      <c r="H24" s="276"/>
      <c r="I24" s="276"/>
      <c r="J24" s="276"/>
      <c r="K24" s="276"/>
      <c r="L24" s="276"/>
      <c r="M24" s="276"/>
      <c r="N24" s="276"/>
      <c r="O24" s="276"/>
      <c r="P24" s="276"/>
      <c r="Q24" s="276"/>
      <c r="R24" s="276"/>
      <c r="S24" s="276"/>
      <c r="T24" s="276"/>
      <c r="U24" s="276"/>
      <c r="V24" s="276"/>
      <c r="W24" s="276"/>
      <c r="X24" s="276"/>
      <c r="Y24" s="192"/>
    </row>
    <row r="25" spans="1:25" x14ac:dyDescent="0.2">
      <c r="A25" s="192"/>
      <c r="B25" s="283">
        <v>3</v>
      </c>
      <c r="C25" s="287" t="s">
        <v>67</v>
      </c>
      <c r="D25" s="288">
        <v>37</v>
      </c>
      <c r="E25" s="289" t="s">
        <v>159</v>
      </c>
      <c r="F25" s="276"/>
      <c r="G25" s="276"/>
      <c r="H25" s="276"/>
      <c r="I25" s="276"/>
      <c r="J25" s="276"/>
      <c r="K25" s="276"/>
      <c r="L25" s="276"/>
      <c r="M25" s="276"/>
      <c r="N25" s="276"/>
      <c r="O25" s="276"/>
      <c r="P25" s="276"/>
      <c r="Q25" s="276"/>
      <c r="R25" s="276"/>
      <c r="S25" s="276"/>
      <c r="T25" s="276"/>
      <c r="U25" s="276"/>
      <c r="V25" s="276"/>
      <c r="W25" s="276"/>
      <c r="X25" s="276"/>
      <c r="Y25" s="192"/>
    </row>
    <row r="26" spans="1:25" x14ac:dyDescent="0.2">
      <c r="A26" s="192"/>
      <c r="B26" s="283"/>
      <c r="C26" s="281" t="s">
        <v>13</v>
      </c>
      <c r="D26" s="281"/>
      <c r="E26" s="285">
        <f>F26-1</f>
        <v>-1</v>
      </c>
      <c r="F26" s="286"/>
      <c r="G26" s="286"/>
      <c r="H26" s="286"/>
      <c r="I26" s="286"/>
      <c r="J26" s="286"/>
      <c r="K26" s="286"/>
      <c r="L26" s="286"/>
      <c r="M26" s="286"/>
      <c r="N26" s="286"/>
      <c r="O26" s="286"/>
      <c r="P26" s="286"/>
      <c r="Q26" s="286"/>
      <c r="R26" s="286"/>
      <c r="S26" s="286"/>
      <c r="T26" s="286"/>
      <c r="U26" s="286"/>
      <c r="V26" s="286"/>
      <c r="W26" s="286"/>
      <c r="X26" s="286"/>
      <c r="Y26" s="192"/>
    </row>
    <row r="27" spans="1:25" x14ac:dyDescent="0.2">
      <c r="A27" s="192"/>
      <c r="B27" s="283">
        <v>4</v>
      </c>
      <c r="C27" s="287" t="s">
        <v>152</v>
      </c>
      <c r="D27" s="288">
        <v>56</v>
      </c>
      <c r="E27" s="289" t="s">
        <v>153</v>
      </c>
      <c r="F27" s="276"/>
      <c r="G27" s="276"/>
      <c r="H27" s="276"/>
      <c r="I27" s="276"/>
      <c r="J27" s="276"/>
      <c r="K27" s="276"/>
      <c r="L27" s="276"/>
      <c r="M27" s="276"/>
      <c r="N27" s="276"/>
      <c r="O27" s="276"/>
      <c r="P27" s="276"/>
      <c r="Q27" s="276"/>
      <c r="R27" s="276"/>
      <c r="S27" s="276"/>
      <c r="T27" s="276"/>
      <c r="U27" s="276"/>
      <c r="V27" s="276"/>
      <c r="W27" s="276"/>
      <c r="X27" s="276"/>
      <c r="Y27" s="192"/>
    </row>
    <row r="28" spans="1:25" x14ac:dyDescent="0.2">
      <c r="A28" s="192"/>
      <c r="B28" s="283">
        <v>5</v>
      </c>
      <c r="C28" s="287" t="s">
        <v>18</v>
      </c>
      <c r="D28" s="288">
        <v>12</v>
      </c>
      <c r="E28" s="289" t="s">
        <v>155</v>
      </c>
      <c r="F28" s="276"/>
      <c r="G28" s="276"/>
      <c r="H28" s="276"/>
      <c r="I28" s="276"/>
      <c r="J28" s="276"/>
      <c r="K28" s="276"/>
      <c r="L28" s="276"/>
      <c r="M28" s="276"/>
      <c r="N28" s="276"/>
      <c r="O28" s="276"/>
      <c r="P28" s="276"/>
      <c r="Q28" s="276"/>
      <c r="R28" s="276"/>
      <c r="S28" s="276"/>
      <c r="T28" s="276"/>
      <c r="U28" s="276"/>
      <c r="V28" s="276"/>
      <c r="W28" s="276"/>
      <c r="X28" s="276"/>
      <c r="Y28" s="192"/>
    </row>
    <row r="29" spans="1:25" x14ac:dyDescent="0.2">
      <c r="A29" s="192"/>
      <c r="B29" s="283"/>
      <c r="C29" s="281" t="s">
        <v>167</v>
      </c>
      <c r="D29" s="281"/>
      <c r="E29" s="285">
        <f>F29-1</f>
        <v>-1</v>
      </c>
      <c r="F29" s="286"/>
      <c r="G29" s="286"/>
      <c r="H29" s="286"/>
      <c r="I29" s="286"/>
      <c r="J29" s="286"/>
      <c r="K29" s="286"/>
      <c r="L29" s="286"/>
      <c r="M29" s="286"/>
      <c r="N29" s="286"/>
      <c r="O29" s="286"/>
      <c r="P29" s="286"/>
      <c r="Q29" s="286"/>
      <c r="R29" s="286"/>
      <c r="S29" s="286"/>
      <c r="T29" s="286"/>
      <c r="U29" s="286"/>
      <c r="V29" s="286"/>
      <c r="W29" s="286"/>
      <c r="X29" s="286"/>
      <c r="Y29" s="192"/>
    </row>
    <row r="30" spans="1:25" x14ac:dyDescent="0.2">
      <c r="A30" s="192"/>
      <c r="B30" s="283">
        <v>6</v>
      </c>
      <c r="C30" s="287" t="s">
        <v>152</v>
      </c>
      <c r="D30" s="288">
        <v>57</v>
      </c>
      <c r="E30" s="289" t="s">
        <v>153</v>
      </c>
      <c r="F30" s="276"/>
      <c r="G30" s="276"/>
      <c r="H30" s="276"/>
      <c r="I30" s="276"/>
      <c r="J30" s="276"/>
      <c r="K30" s="276"/>
      <c r="L30" s="276"/>
      <c r="M30" s="276"/>
      <c r="N30" s="276"/>
      <c r="O30" s="276"/>
      <c r="P30" s="276"/>
      <c r="Q30" s="276"/>
      <c r="R30" s="276"/>
      <c r="S30" s="276"/>
      <c r="T30" s="276"/>
      <c r="U30" s="276"/>
      <c r="V30" s="276"/>
      <c r="W30" s="276"/>
      <c r="X30" s="276"/>
      <c r="Y30" s="192"/>
    </row>
    <row r="31" spans="1:25" x14ac:dyDescent="0.2">
      <c r="A31" s="192"/>
      <c r="B31" s="283">
        <v>7</v>
      </c>
      <c r="C31" s="287" t="s">
        <v>66</v>
      </c>
      <c r="D31" s="288">
        <v>37</v>
      </c>
      <c r="E31" s="289" t="s">
        <v>159</v>
      </c>
      <c r="F31" s="276"/>
      <c r="G31" s="276"/>
      <c r="H31" s="276"/>
      <c r="I31" s="276"/>
      <c r="J31" s="276"/>
      <c r="K31" s="276"/>
      <c r="L31" s="276"/>
      <c r="M31" s="276"/>
      <c r="N31" s="276"/>
      <c r="O31" s="276"/>
      <c r="P31" s="276"/>
      <c r="Q31" s="276"/>
      <c r="R31" s="276"/>
      <c r="S31" s="276"/>
      <c r="T31" s="276"/>
      <c r="U31" s="276"/>
      <c r="V31" s="276"/>
      <c r="W31" s="276"/>
      <c r="X31" s="276"/>
      <c r="Y31" s="192"/>
    </row>
    <row r="32" spans="1:25" x14ac:dyDescent="0.2">
      <c r="A32" s="192"/>
      <c r="B32" s="283">
        <v>8</v>
      </c>
      <c r="C32" s="287" t="s">
        <v>67</v>
      </c>
      <c r="D32" s="288">
        <v>38</v>
      </c>
      <c r="E32" s="289" t="s">
        <v>159</v>
      </c>
      <c r="F32" s="276"/>
      <c r="G32" s="276"/>
      <c r="H32" s="276"/>
      <c r="I32" s="276"/>
      <c r="J32" s="276"/>
      <c r="K32" s="276"/>
      <c r="L32" s="276"/>
      <c r="M32" s="276"/>
      <c r="N32" s="276"/>
      <c r="O32" s="276"/>
      <c r="P32" s="276"/>
      <c r="Q32" s="276"/>
      <c r="R32" s="276"/>
      <c r="S32" s="276"/>
      <c r="T32" s="276"/>
      <c r="U32" s="276"/>
      <c r="V32" s="276"/>
      <c r="W32" s="276"/>
      <c r="X32" s="276"/>
      <c r="Y32" s="192"/>
    </row>
    <row r="33" spans="1:25" x14ac:dyDescent="0.2">
      <c r="A33" s="192"/>
      <c r="B33" s="283">
        <v>9</v>
      </c>
      <c r="C33" s="279" t="s">
        <v>163</v>
      </c>
      <c r="D33" s="288">
        <v>23</v>
      </c>
      <c r="E33" s="289" t="s">
        <v>162</v>
      </c>
      <c r="F33" s="276"/>
      <c r="G33" s="276"/>
      <c r="H33" s="276"/>
      <c r="I33" s="276"/>
      <c r="J33" s="276"/>
      <c r="K33" s="276"/>
      <c r="L33" s="276"/>
      <c r="M33" s="276"/>
      <c r="N33" s="276"/>
      <c r="O33" s="276"/>
      <c r="P33" s="276"/>
      <c r="Q33" s="276"/>
      <c r="R33" s="276"/>
      <c r="S33" s="276"/>
      <c r="T33" s="276"/>
      <c r="U33" s="276"/>
      <c r="V33" s="276"/>
      <c r="W33" s="276"/>
      <c r="X33" s="276"/>
      <c r="Y33" s="192"/>
    </row>
    <row r="34" spans="1:25" x14ac:dyDescent="0.2">
      <c r="A34" s="192"/>
      <c r="B34" s="283">
        <v>10</v>
      </c>
      <c r="C34" s="291" t="s">
        <v>40</v>
      </c>
      <c r="D34" s="288">
        <v>27</v>
      </c>
      <c r="E34" s="289" t="s">
        <v>162</v>
      </c>
      <c r="F34" s="276"/>
      <c r="G34" s="276"/>
      <c r="H34" s="276"/>
      <c r="I34" s="276"/>
      <c r="J34" s="276"/>
      <c r="K34" s="276"/>
      <c r="L34" s="276"/>
      <c r="M34" s="276"/>
      <c r="N34" s="276"/>
      <c r="O34" s="276"/>
      <c r="P34" s="276"/>
      <c r="Q34" s="276"/>
      <c r="R34" s="276"/>
      <c r="S34" s="276"/>
      <c r="T34" s="276"/>
      <c r="U34" s="276"/>
      <c r="V34" s="276"/>
      <c r="W34" s="276"/>
      <c r="X34" s="276"/>
      <c r="Y34" s="192"/>
    </row>
    <row r="35" spans="1:25" x14ac:dyDescent="0.2">
      <c r="A35" s="192"/>
      <c r="B35" s="283"/>
      <c r="C35" s="281" t="s">
        <v>168</v>
      </c>
      <c r="D35" s="281"/>
      <c r="E35" s="285">
        <f>F35-1</f>
        <v>-1</v>
      </c>
      <c r="F35" s="294"/>
      <c r="G35" s="192"/>
      <c r="H35" s="192"/>
      <c r="I35" s="192"/>
      <c r="J35" s="192"/>
      <c r="K35" s="192"/>
      <c r="L35" s="192"/>
      <c r="M35" s="192"/>
      <c r="N35" s="192"/>
      <c r="O35" s="192"/>
      <c r="P35" s="192"/>
      <c r="Q35" s="192"/>
      <c r="R35" s="192"/>
      <c r="S35" s="192"/>
      <c r="T35" s="192"/>
      <c r="U35" s="192"/>
      <c r="V35" s="192"/>
      <c r="W35" s="192"/>
      <c r="X35" s="192"/>
      <c r="Y35" s="192"/>
    </row>
    <row r="36" spans="1:25" x14ac:dyDescent="0.2">
      <c r="A36" s="192"/>
      <c r="B36" s="283">
        <v>11</v>
      </c>
      <c r="C36" s="287" t="s">
        <v>169</v>
      </c>
      <c r="D36" s="300" t="s">
        <v>173</v>
      </c>
      <c r="E36" s="289" t="s">
        <v>159</v>
      </c>
      <c r="F36" s="276"/>
      <c r="G36" s="307"/>
      <c r="H36" s="296"/>
      <c r="I36" s="297"/>
      <c r="J36" s="297"/>
      <c r="K36" s="296"/>
      <c r="L36" s="297"/>
      <c r="M36" s="296"/>
      <c r="N36" s="296"/>
      <c r="O36" s="297"/>
      <c r="P36" s="297"/>
      <c r="Q36" s="296"/>
      <c r="R36" s="297"/>
      <c r="S36" s="296"/>
      <c r="T36" s="301"/>
      <c r="U36" s="87"/>
      <c r="V36" s="308"/>
      <c r="W36" s="309"/>
      <c r="X36" s="308"/>
      <c r="Y36" s="87"/>
    </row>
    <row r="37" spans="1:25" x14ac:dyDescent="0.2">
      <c r="A37" s="192"/>
      <c r="B37" s="277"/>
      <c r="C37" s="298"/>
      <c r="D37" s="298"/>
      <c r="E37" s="298"/>
      <c r="F37" s="298"/>
      <c r="G37" s="298"/>
      <c r="H37" s="298"/>
      <c r="I37" s="298"/>
      <c r="J37" s="298"/>
      <c r="K37" s="192"/>
      <c r="L37" s="192"/>
      <c r="M37" s="192"/>
      <c r="N37" s="192"/>
      <c r="O37" s="192"/>
      <c r="P37" s="192"/>
      <c r="Q37" s="307"/>
      <c r="R37" s="307"/>
      <c r="S37" s="307"/>
      <c r="T37" s="307"/>
      <c r="U37" s="307"/>
      <c r="V37" s="307"/>
      <c r="W37" s="192"/>
      <c r="X37" s="192"/>
      <c r="Y37" s="192"/>
    </row>
    <row r="38" spans="1:25" x14ac:dyDescent="0.2">
      <c r="A38" s="192"/>
      <c r="B38" s="299"/>
      <c r="C38" s="281" t="s">
        <v>170</v>
      </c>
      <c r="D38" s="282"/>
      <c r="E38" s="282"/>
      <c r="F38" s="293"/>
      <c r="G38" s="192"/>
      <c r="H38" s="192"/>
      <c r="I38" s="192"/>
      <c r="J38" s="192"/>
      <c r="K38" s="192"/>
      <c r="L38" s="192"/>
      <c r="M38" s="192"/>
      <c r="N38" s="192"/>
      <c r="O38" s="192"/>
      <c r="P38" s="192"/>
      <c r="Q38" s="192"/>
      <c r="R38" s="192"/>
      <c r="S38" s="192"/>
      <c r="T38" s="192"/>
      <c r="U38" s="192"/>
      <c r="V38" s="192"/>
      <c r="W38" s="192"/>
      <c r="X38" s="192"/>
      <c r="Y38" s="192"/>
    </row>
    <row r="39" spans="1:25" x14ac:dyDescent="0.2">
      <c r="A39" s="192"/>
      <c r="B39" s="277"/>
      <c r="C39" s="298"/>
      <c r="D39" s="298"/>
      <c r="E39" s="298"/>
      <c r="F39" s="298"/>
      <c r="G39" s="298"/>
      <c r="H39" s="298"/>
      <c r="I39" s="298"/>
      <c r="J39" s="298"/>
      <c r="K39" s="192"/>
      <c r="L39" s="192"/>
      <c r="M39" s="192"/>
      <c r="N39" s="192"/>
      <c r="O39" s="192"/>
      <c r="P39" s="192"/>
      <c r="Q39" s="192"/>
      <c r="R39" s="192"/>
      <c r="S39" s="192"/>
      <c r="T39" s="192"/>
      <c r="U39" s="192"/>
      <c r="V39" s="192"/>
      <c r="W39" s="192"/>
      <c r="X39" s="192"/>
      <c r="Y39" s="192"/>
    </row>
    <row r="40" spans="1:25" x14ac:dyDescent="0.2">
      <c r="A40" s="192"/>
      <c r="B40" s="283"/>
      <c r="C40" s="281"/>
      <c r="D40" s="281"/>
      <c r="E40" s="286"/>
      <c r="F40" s="286">
        <f>'Input data'!$C$5-1</f>
        <v>2023</v>
      </c>
      <c r="G40" s="286">
        <f>F40+1</f>
        <v>2024</v>
      </c>
      <c r="H40" s="286">
        <f t="shared" ref="H40:X40" si="1">G40+1</f>
        <v>2025</v>
      </c>
      <c r="I40" s="286">
        <f t="shared" si="1"/>
        <v>2026</v>
      </c>
      <c r="J40" s="286">
        <f t="shared" si="1"/>
        <v>2027</v>
      </c>
      <c r="K40" s="286">
        <f t="shared" si="1"/>
        <v>2028</v>
      </c>
      <c r="L40" s="286">
        <f t="shared" si="1"/>
        <v>2029</v>
      </c>
      <c r="M40" s="286">
        <f t="shared" si="1"/>
        <v>2030</v>
      </c>
      <c r="N40" s="286">
        <f t="shared" si="1"/>
        <v>2031</v>
      </c>
      <c r="O40" s="286">
        <f t="shared" si="1"/>
        <v>2032</v>
      </c>
      <c r="P40" s="286">
        <f t="shared" si="1"/>
        <v>2033</v>
      </c>
      <c r="Q40" s="286">
        <f t="shared" si="1"/>
        <v>2034</v>
      </c>
      <c r="R40" s="286">
        <f t="shared" si="1"/>
        <v>2035</v>
      </c>
      <c r="S40" s="286">
        <f t="shared" si="1"/>
        <v>2036</v>
      </c>
      <c r="T40" s="286">
        <f t="shared" si="1"/>
        <v>2037</v>
      </c>
      <c r="U40" s="286">
        <f t="shared" si="1"/>
        <v>2038</v>
      </c>
      <c r="V40" s="286">
        <f t="shared" si="1"/>
        <v>2039</v>
      </c>
      <c r="W40" s="286">
        <f t="shared" si="1"/>
        <v>2040</v>
      </c>
      <c r="X40" s="286">
        <f t="shared" si="1"/>
        <v>2041</v>
      </c>
      <c r="Y40" s="192"/>
    </row>
    <row r="41" spans="1:25" x14ac:dyDescent="0.2">
      <c r="A41" s="192"/>
      <c r="B41" s="283">
        <v>1</v>
      </c>
      <c r="C41" s="287" t="s">
        <v>152</v>
      </c>
      <c r="D41" s="288">
        <v>56</v>
      </c>
      <c r="E41" s="289" t="s">
        <v>153</v>
      </c>
      <c r="F41" s="276">
        <f ca="1">INDEX(OFFSET('Baseline NFPC'!$D$1:$W$1,$D41-1,0),MATCH(F$4,'Baseline NFPC'!$D$10:$W$10,0))</f>
        <v>46.482690336671389</v>
      </c>
      <c r="G41" s="276">
        <f ca="1">INDEX(OFFSET('Baseline NFPC'!$D$1:$W$1,$D41-1,0),MATCH(G$4,'Baseline NFPC'!$D$10:$W$10,0))</f>
        <v>47.061224448752846</v>
      </c>
      <c r="H41" s="276">
        <f ca="1">INDEX(OFFSET('Baseline NFPC'!$D$1:$W$1,$D41-1,0),MATCH(H$4,'Baseline NFPC'!$D$10:$W$10,0))</f>
        <v>48.424295148872702</v>
      </c>
      <c r="I41" s="276">
        <f ca="1">INDEX(OFFSET('Baseline NFPC'!$D$1:$W$1,$D41-1,0),MATCH(I$4,'Baseline NFPC'!$D$10:$W$10,0))</f>
        <v>48.584281331793697</v>
      </c>
      <c r="J41" s="276">
        <f ca="1">INDEX(OFFSET('Baseline NFPC'!$D$1:$W$1,$D41-1,0),MATCH(J$4,'Baseline NFPC'!$D$10:$W$10,0))</f>
        <v>48.743724125324157</v>
      </c>
      <c r="K41" s="276">
        <f ca="1">INDEX(OFFSET('Baseline NFPC'!$D$1:$W$1,$D41-1,0),MATCH(K$4,'Baseline NFPC'!$D$10:$W$10,0))</f>
        <v>49.02540462496038</v>
      </c>
      <c r="L41" s="276">
        <f ca="1">INDEX(OFFSET('Baseline NFPC'!$D$1:$W$1,$D41-1,0),MATCH(L$4,'Baseline NFPC'!$D$10:$W$10,0))</f>
        <v>49.640511925899268</v>
      </c>
      <c r="M41" s="276">
        <f ca="1">INDEX(OFFSET('Baseline NFPC'!$D$1:$W$1,$D41-1,0),MATCH(M$4,'Baseline NFPC'!$D$10:$W$10,0))</f>
        <v>50.477027080752762</v>
      </c>
      <c r="N41" s="276">
        <f ca="1">INDEX(OFFSET('Baseline NFPC'!$D$1:$W$1,$D41-1,0),MATCH(N$4,'Baseline NFPC'!$D$10:$W$10,0))</f>
        <v>51.556630657020904</v>
      </c>
      <c r="O41" s="276">
        <f ca="1">INDEX(OFFSET('Baseline NFPC'!$D$1:$W$1,$D41-1,0),MATCH(O$4,'Baseline NFPC'!$D$10:$W$10,0))</f>
        <v>52.865725407327631</v>
      </c>
      <c r="P41" s="276">
        <f ca="1">INDEX(OFFSET('Baseline NFPC'!$D$1:$W$1,$D41-1,0),MATCH(P$4,'Baseline NFPC'!$D$10:$W$10,0))</f>
        <v>54.342534322999015</v>
      </c>
      <c r="Q41" s="276">
        <f ca="1">INDEX(OFFSET('Baseline NFPC'!$D$1:$W$1,$D41-1,0),MATCH(Q$4,'Baseline NFPC'!$D$10:$W$10,0))</f>
        <v>56.002671698672621</v>
      </c>
      <c r="R41" s="276">
        <f ca="1">INDEX(OFFSET('Baseline NFPC'!$D$1:$W$1,$D41-1,0),MATCH(R$4,'Baseline NFPC'!$D$10:$W$10,0))</f>
        <v>57.820292706308166</v>
      </c>
      <c r="S41" s="276">
        <f ca="1">INDEX(OFFSET('Baseline NFPC'!$D$1:$W$1,$D41-1,0),MATCH(S$4,'Baseline NFPC'!$D$10:$W$10,0))</f>
        <v>59.821431427739128</v>
      </c>
      <c r="T41" s="276">
        <f ca="1">INDEX(OFFSET('Baseline NFPC'!$D$1:$W$1,$D41-1,0),MATCH(T$4,'Baseline NFPC'!$D$10:$W$10,0))</f>
        <v>61.967742773165533</v>
      </c>
      <c r="U41" s="276">
        <f ca="1">INDEX(OFFSET('Baseline NFPC'!$D$1:$W$1,$D41-1,0),MATCH(U$4,'Baseline NFPC'!$D$10:$W$10,0))</f>
        <v>64.228302666543684</v>
      </c>
      <c r="V41" s="276">
        <f ca="1">INDEX(OFFSET('Baseline NFPC'!$D$1:$W$1,$D41-1,0),MATCH(V$4,'Baseline NFPC'!$D$10:$W$10,0))</f>
        <v>66.569915823758407</v>
      </c>
      <c r="W41" s="276">
        <f ca="1">INDEX(OFFSET('Baseline NFPC'!$D$1:$W$1,$D41-1,0),MATCH(W$4,'Baseline NFPC'!$D$10:$W$10,0))</f>
        <v>68.974953995748109</v>
      </c>
      <c r="X41" s="276">
        <f ca="1">INDEX(OFFSET('Baseline NFPC'!$D$1:$W$1,$D41-1,0),MATCH(X$4,'Baseline NFPC'!$D$10:$W$10,0))</f>
        <v>71.479182919606316</v>
      </c>
      <c r="Y41" s="192"/>
    </row>
    <row r="42" spans="1:25" x14ac:dyDescent="0.2">
      <c r="A42" s="192"/>
      <c r="B42" s="283">
        <v>2</v>
      </c>
      <c r="C42" s="287" t="s">
        <v>154</v>
      </c>
      <c r="D42" s="288">
        <v>76</v>
      </c>
      <c r="E42" s="289" t="s">
        <v>153</v>
      </c>
      <c r="F42" s="276">
        <f ca="1">INDEX(OFFSET('Baseline NFPC'!$D$1:$W$1,$D42-1,0),MATCH(F$4,'Baseline NFPC'!$D$10:$W$10,0))</f>
        <v>-0.34320279257575687</v>
      </c>
      <c r="G42" s="276">
        <f ca="1">INDEX(OFFSET('Baseline NFPC'!$D$1:$W$1,$D42-1,0),MATCH(G$4,'Baseline NFPC'!$D$10:$W$10,0))</f>
        <v>-1.9866626203999505</v>
      </c>
      <c r="H42" s="276">
        <f ca="1">INDEX(OFFSET('Baseline NFPC'!$D$1:$W$1,$D42-1,0),MATCH(H$4,'Baseline NFPC'!$D$10:$W$10,0))</f>
        <v>-2.1594660281313702</v>
      </c>
      <c r="I42" s="276">
        <f ca="1">INDEX(OFFSET('Baseline NFPC'!$D$1:$W$1,$D42-1,0),MATCH(I$4,'Baseline NFPC'!$D$10:$W$10,0))</f>
        <v>-2.104708701922803</v>
      </c>
      <c r="J42" s="276">
        <f ca="1">INDEX(OFFSET('Baseline NFPC'!$D$1:$W$1,$D42-1,0),MATCH(J$4,'Baseline NFPC'!$D$10:$W$10,0))</f>
        <v>-2.0588976168150364</v>
      </c>
      <c r="K42" s="276">
        <f ca="1">INDEX(OFFSET('Baseline NFPC'!$D$1:$W$1,$D42-1,0),MATCH(K$4,'Baseline NFPC'!$D$10:$W$10,0))</f>
        <v>-2.0438629991227146</v>
      </c>
      <c r="L42" s="276">
        <f ca="1">INDEX(OFFSET('Baseline NFPC'!$D$1:$W$1,$D42-1,0),MATCH(L$4,'Baseline NFPC'!$D$10:$W$10,0))</f>
        <v>-2.2679894930586366</v>
      </c>
      <c r="M42" s="276">
        <f ca="1">INDEX(OFFSET('Baseline NFPC'!$D$1:$W$1,$D42-1,0),MATCH(M$4,'Baseline NFPC'!$D$10:$W$10,0))</f>
        <v>-2.5133807497928995</v>
      </c>
      <c r="N42" s="276">
        <f ca="1">INDEX(OFFSET('Baseline NFPC'!$D$1:$W$1,$D42-1,0),MATCH(N$4,'Baseline NFPC'!$D$10:$W$10,0))</f>
        <v>-2.7855171673434249</v>
      </c>
      <c r="O42" s="276">
        <f ca="1">INDEX(OFFSET('Baseline NFPC'!$D$1:$W$1,$D42-1,0),MATCH(O$4,'Baseline NFPC'!$D$10:$W$10,0))</f>
        <v>-3.0584809725198561</v>
      </c>
      <c r="P42" s="276">
        <f ca="1">INDEX(OFFSET('Baseline NFPC'!$D$1:$W$1,$D42-1,0),MATCH(P$4,'Baseline NFPC'!$D$10:$W$10,0))</f>
        <v>-3.2954443853723516</v>
      </c>
      <c r="Q42" s="276">
        <f ca="1">INDEX(OFFSET('Baseline NFPC'!$D$1:$W$1,$D42-1,0),MATCH(Q$4,'Baseline NFPC'!$D$10:$W$10,0))</f>
        <v>-3.5298041924661749</v>
      </c>
      <c r="R42" s="276">
        <f ca="1">INDEX(OFFSET('Baseline NFPC'!$D$1:$W$1,$D42-1,0),MATCH(R$4,'Baseline NFPC'!$D$10:$W$10,0))</f>
        <v>-3.7446311091987088</v>
      </c>
      <c r="S42" s="276">
        <f ca="1">INDEX(OFFSET('Baseline NFPC'!$D$1:$W$1,$D42-1,0),MATCH(S$4,'Baseline NFPC'!$D$10:$W$10,0))</f>
        <v>-3.9909163143784694</v>
      </c>
      <c r="T42" s="276">
        <f ca="1">INDEX(OFFSET('Baseline NFPC'!$D$1:$W$1,$D42-1,0),MATCH(T$4,'Baseline NFPC'!$D$10:$W$10,0))</f>
        <v>-4.2521316620994876</v>
      </c>
      <c r="U42" s="276">
        <f ca="1">INDEX(OFFSET('Baseline NFPC'!$D$1:$W$1,$D42-1,0),MATCH(U$4,'Baseline NFPC'!$D$10:$W$10,0))</f>
        <v>-4.4884324232037871</v>
      </c>
      <c r="V42" s="276">
        <f ca="1">INDEX(OFFSET('Baseline NFPC'!$D$1:$W$1,$D42-1,0),MATCH(V$4,'Baseline NFPC'!$D$10:$W$10,0))</f>
        <v>-4.7329592790089778</v>
      </c>
      <c r="W42" s="276">
        <f ca="1">INDEX(OFFSET('Baseline NFPC'!$D$1:$W$1,$D42-1,0),MATCH(W$4,'Baseline NFPC'!$D$10:$W$10,0))</f>
        <v>-4.9703022585849244</v>
      </c>
      <c r="X42" s="276">
        <f ca="1">INDEX(OFFSET('Baseline NFPC'!$D$1:$W$1,$D42-1,0),MATCH(X$4,'Baseline NFPC'!$D$10:$W$10,0))</f>
        <v>-5.1782796438734007</v>
      </c>
      <c r="Y42" s="192"/>
    </row>
    <row r="43" spans="1:25" x14ac:dyDescent="0.2">
      <c r="A43" s="192"/>
      <c r="B43" s="283">
        <v>3</v>
      </c>
      <c r="C43" s="287" t="s">
        <v>18</v>
      </c>
      <c r="D43" s="288">
        <v>12</v>
      </c>
      <c r="E43" s="289" t="s">
        <v>155</v>
      </c>
      <c r="F43" s="276">
        <f ca="1">INDEX(OFFSET('Baseline NFPC'!$D$1:$W$1,$D43-1,0),MATCH(F$4,'Baseline NFPC'!$D$10:$W$10,0))</f>
        <v>-0.18470490000000001</v>
      </c>
      <c r="G43" s="276">
        <f ca="1">INDEX(OFFSET('Baseline NFPC'!$D$1:$W$1,$D43-1,0),MATCH(G$4,'Baseline NFPC'!$D$10:$W$10,0))</f>
        <v>-0.64168910000000001</v>
      </c>
      <c r="H43" s="276">
        <f ca="1">INDEX(OFFSET('Baseline NFPC'!$D$1:$W$1,$D43-1,0),MATCH(H$4,'Baseline NFPC'!$D$10:$W$10,0))</f>
        <v>-0.64168910000000001</v>
      </c>
      <c r="I43" s="276">
        <f ca="1">INDEX(OFFSET('Baseline NFPC'!$D$1:$W$1,$D43-1,0),MATCH(I$4,'Baseline NFPC'!$D$10:$W$10,0))</f>
        <v>-0.64168910000000001</v>
      </c>
      <c r="J43" s="276">
        <f ca="1">INDEX(OFFSET('Baseline NFPC'!$D$1:$W$1,$D43-1,0),MATCH(J$4,'Baseline NFPC'!$D$10:$W$10,0))</f>
        <v>-0.64168910000000001</v>
      </c>
      <c r="K43" s="276">
        <f ca="1">INDEX(OFFSET('Baseline NFPC'!$D$1:$W$1,$D43-1,0),MATCH(K$4,'Baseline NFPC'!$D$10:$W$10,0))</f>
        <v>-0.64168910000000001</v>
      </c>
      <c r="L43" s="276">
        <f ca="1">INDEX(OFFSET('Baseline NFPC'!$D$1:$W$1,$D43-1,0),MATCH(L$4,'Baseline NFPC'!$D$10:$W$10,0))</f>
        <v>-0.64168910000000001</v>
      </c>
      <c r="M43" s="276">
        <f ca="1">INDEX(OFFSET('Baseline NFPC'!$D$1:$W$1,$D43-1,0),MATCH(M$4,'Baseline NFPC'!$D$10:$W$10,0))</f>
        <v>-0.64168910000000001</v>
      </c>
      <c r="N43" s="276">
        <f ca="1">INDEX(OFFSET('Baseline NFPC'!$D$1:$W$1,$D43-1,0),MATCH(N$4,'Baseline NFPC'!$D$10:$W$10,0))</f>
        <v>-0.64168910000000001</v>
      </c>
      <c r="O43" s="276">
        <f ca="1">INDEX(OFFSET('Baseline NFPC'!$D$1:$W$1,$D43-1,0),MATCH(O$4,'Baseline NFPC'!$D$10:$W$10,0))</f>
        <v>-0.64168910000000001</v>
      </c>
      <c r="P43" s="276">
        <f ca="1">INDEX(OFFSET('Baseline NFPC'!$D$1:$W$1,$D43-1,0),MATCH(P$4,'Baseline NFPC'!$D$10:$W$10,0))</f>
        <v>-0.64168910000000001</v>
      </c>
      <c r="Q43" s="276">
        <f ca="1">INDEX(OFFSET('Baseline NFPC'!$D$1:$W$1,$D43-1,0),MATCH(Q$4,'Baseline NFPC'!$D$10:$W$10,0))</f>
        <v>-0.64168910000000001</v>
      </c>
      <c r="R43" s="276">
        <f ca="1">INDEX(OFFSET('Baseline NFPC'!$D$1:$W$1,$D43-1,0),MATCH(R$4,'Baseline NFPC'!$D$10:$W$10,0))</f>
        <v>-0.64168910000000001</v>
      </c>
      <c r="S43" s="276">
        <f ca="1">INDEX(OFFSET('Baseline NFPC'!$D$1:$W$1,$D43-1,0),MATCH(S$4,'Baseline NFPC'!$D$10:$W$10,0))</f>
        <v>-0.64168910000000001</v>
      </c>
      <c r="T43" s="276">
        <f ca="1">INDEX(OFFSET('Baseline NFPC'!$D$1:$W$1,$D43-1,0),MATCH(T$4,'Baseline NFPC'!$D$10:$W$10,0))</f>
        <v>-0.64168910000000001</v>
      </c>
      <c r="U43" s="276">
        <f ca="1">INDEX(OFFSET('Baseline NFPC'!$D$1:$W$1,$D43-1,0),MATCH(U$4,'Baseline NFPC'!$D$10:$W$10,0))</f>
        <v>-0.64168910000000001</v>
      </c>
      <c r="V43" s="276">
        <f ca="1">INDEX(OFFSET('Baseline NFPC'!$D$1:$W$1,$D43-1,0),MATCH(V$4,'Baseline NFPC'!$D$10:$W$10,0))</f>
        <v>-0.64168910000000001</v>
      </c>
      <c r="W43" s="276">
        <f ca="1">INDEX(OFFSET('Baseline NFPC'!$D$1:$W$1,$D43-1,0),MATCH(W$4,'Baseline NFPC'!$D$10:$W$10,0))</f>
        <v>-0.64168910000000001</v>
      </c>
      <c r="X43" s="276">
        <f ca="1">INDEX(OFFSET('Baseline NFPC'!$D$1:$W$1,$D43-1,0),MATCH(X$4,'Baseline NFPC'!$D$10:$W$10,0))</f>
        <v>-0.64168910000000001</v>
      </c>
      <c r="Y43" s="192"/>
    </row>
    <row r="44" spans="1:25" x14ac:dyDescent="0.2">
      <c r="A44" s="192"/>
      <c r="B44" s="283">
        <v>4</v>
      </c>
      <c r="C44" s="287" t="s">
        <v>156</v>
      </c>
      <c r="D44" s="288">
        <v>61</v>
      </c>
      <c r="E44" s="289" t="s">
        <v>155</v>
      </c>
      <c r="F44" s="276">
        <f ca="1">INDEX(OFFSET('Baseline NFPC'!$D$1:$W$1,$D44-1,0),MATCH(F$4,'Baseline NFPC'!$D$10:$W$10,0))</f>
        <v>1.1121284391570119E-2</v>
      </c>
      <c r="G44" s="276">
        <f ca="1">INDEX(OFFSET('Baseline NFPC'!$D$1:$W$1,$D44-1,0),MATCH(G$4,'Baseline NFPC'!$D$10:$W$10,0))</f>
        <v>0.64475181208145382</v>
      </c>
      <c r="H44" s="276">
        <f ca="1">INDEX(OFFSET('Baseline NFPC'!$D$1:$W$1,$D44-1,0),MATCH(H$4,'Baseline NFPC'!$D$10:$W$10,0))</f>
        <v>0.76845080011985356</v>
      </c>
      <c r="I44" s="276">
        <f ca="1">INDEX(OFFSET('Baseline NFPC'!$D$1:$W$1,$D44-1,0),MATCH(I$4,'Baseline NFPC'!$D$10:$W$10,0))</f>
        <v>0.51230365151481616</v>
      </c>
      <c r="J44" s="276">
        <f ca="1">INDEX(OFFSET('Baseline NFPC'!$D$1:$W$1,$D44-1,0),MATCH(J$4,'Baseline NFPC'!$D$10:$W$10,0))</f>
        <v>0.17077222841844603</v>
      </c>
      <c r="K44" s="276">
        <f ca="1">INDEX(OFFSET('Baseline NFPC'!$D$1:$W$1,$D44-1,0),MATCH(K$4,'Baseline NFPC'!$D$10:$W$10,0))</f>
        <v>8.9001473470573522E-6</v>
      </c>
      <c r="L44" s="276">
        <f ca="1">INDEX(OFFSET('Baseline NFPC'!$D$1:$W$1,$D44-1,0),MATCH(L$4,'Baseline NFPC'!$D$10:$W$10,0))</f>
        <v>9.4987862049866756E-6</v>
      </c>
      <c r="M44" s="276">
        <f ca="1">INDEX(OFFSET('Baseline NFPC'!$D$1:$W$1,$D44-1,0),MATCH(M$4,'Baseline NFPC'!$D$10:$W$10,0))</f>
        <v>8.301154027556823E-6</v>
      </c>
      <c r="N44" s="276">
        <f ca="1">INDEX(OFFSET('Baseline NFPC'!$D$1:$W$1,$D44-1,0),MATCH(N$4,'Baseline NFPC'!$D$10:$W$10,0))</f>
        <v>7.1031057950476928E-6</v>
      </c>
      <c r="O44" s="276">
        <f ca="1">INDEX(OFFSET('Baseline NFPC'!$D$1:$W$1,$D44-1,0),MATCH(O$4,'Baseline NFPC'!$D$10:$W$10,0))</f>
        <v>5.1858007892868763E-6</v>
      </c>
      <c r="P44" s="276">
        <f ca="1">INDEX(OFFSET('Baseline NFPC'!$D$1:$W$1,$D44-1,0),MATCH(P$4,'Baseline NFPC'!$D$10:$W$10,0))</f>
        <v>4.5867166781343727E-6</v>
      </c>
      <c r="Q44" s="276">
        <f ca="1">INDEX(OFFSET('Baseline NFPC'!$D$1:$W$1,$D44-1,0),MATCH(Q$4,'Baseline NFPC'!$D$10:$W$10,0))</f>
        <v>3.3888749282895425E-6</v>
      </c>
      <c r="R44" s="276">
        <f ca="1">INDEX(OFFSET('Baseline NFPC'!$D$1:$W$1,$D44-1,0),MATCH(R$4,'Baseline NFPC'!$D$10:$W$10,0))</f>
        <v>2.7901172022781751E-6</v>
      </c>
      <c r="S44" s="276">
        <f ca="1">INDEX(OFFSET('Baseline NFPC'!$D$1:$W$1,$D44-1,0),MATCH(S$4,'Baseline NFPC'!$D$10:$W$10,0))</f>
        <v>3.3887118633391111E-6</v>
      </c>
      <c r="T44" s="276">
        <f ca="1">INDEX(OFFSET('Baseline NFPC'!$D$1:$W$1,$D44-1,0),MATCH(T$4,'Baseline NFPC'!$D$10:$W$10,0))</f>
        <v>5.1825475504974072E-6</v>
      </c>
      <c r="U44" s="276">
        <f ca="1">INDEX(OFFSET('Baseline NFPC'!$D$1:$W$1,$D44-1,0),MATCH(U$4,'Baseline NFPC'!$D$10:$W$10,0))</f>
        <v>3.9879079376525794E-6</v>
      </c>
      <c r="V44" s="276">
        <f ca="1">INDEX(OFFSET('Baseline NFPC'!$D$1:$W$1,$D44-1,0),MATCH(V$4,'Baseline NFPC'!$D$10:$W$10,0))</f>
        <v>3.9879079309357301E-6</v>
      </c>
      <c r="W44" s="276">
        <f ca="1">INDEX(OFFSET('Baseline NFPC'!$D$1:$W$1,$D44-1,0),MATCH(W$4,'Baseline NFPC'!$D$10:$W$10,0))</f>
        <v>3.9879079376525794E-6</v>
      </c>
      <c r="X44" s="276">
        <f ca="1">INDEX(OFFSET('Baseline NFPC'!$D$1:$W$1,$D44-1,0),MATCH(X$4,'Baseline NFPC'!$D$10:$W$10,0))</f>
        <v>3.3928128692628512E-6</v>
      </c>
      <c r="Y44" s="192"/>
    </row>
    <row r="45" spans="1:25" x14ac:dyDescent="0.2">
      <c r="A45" s="192"/>
      <c r="B45" s="283">
        <v>5</v>
      </c>
      <c r="C45" s="287" t="s">
        <v>158</v>
      </c>
      <c r="D45" s="288">
        <v>67</v>
      </c>
      <c r="E45" s="289" t="s">
        <v>153</v>
      </c>
      <c r="F45" s="276">
        <f ca="1">INDEX(OFFSET('Baseline NFPC'!$D$1:$W$1,$D45-1,0),MATCH(F$4,'Baseline NFPC'!$D$10:$W$10,0))</f>
        <v>0.63089540818418677</v>
      </c>
      <c r="G45" s="276">
        <f ca="1">INDEX(OFFSET('Baseline NFPC'!$D$1:$W$1,$D45-1,0),MATCH(G$4,'Baseline NFPC'!$D$10:$W$10,0))</f>
        <v>0.70022170831849662</v>
      </c>
      <c r="H45" s="276">
        <f ca="1">INDEX(OFFSET('Baseline NFPC'!$D$1:$W$1,$D45-1,0),MATCH(H$4,'Baseline NFPC'!$D$10:$W$10,0))</f>
        <v>0.7276301280115135</v>
      </c>
      <c r="I45" s="276">
        <f ca="1">INDEX(OFFSET('Baseline NFPC'!$D$1:$W$1,$D45-1,0),MATCH(I$4,'Baseline NFPC'!$D$10:$W$10,0))</f>
        <v>0.82962295040798739</v>
      </c>
      <c r="J45" s="276">
        <f ca="1">INDEX(OFFSET('Baseline NFPC'!$D$1:$W$1,$D45-1,0),MATCH(J$4,'Baseline NFPC'!$D$10:$W$10,0))</f>
        <v>0.89431728839659352</v>
      </c>
      <c r="K45" s="276">
        <f ca="1">INDEX(OFFSET('Baseline NFPC'!$D$1:$W$1,$D45-1,0),MATCH(K$4,'Baseline NFPC'!$D$10:$W$10,0))</f>
        <v>0.95375999897536656</v>
      </c>
      <c r="L45" s="276">
        <f ca="1">INDEX(OFFSET('Baseline NFPC'!$D$1:$W$1,$D45-1,0),MATCH(L$4,'Baseline NFPC'!$D$10:$W$10,0))</f>
        <v>1.0093888942724287</v>
      </c>
      <c r="M45" s="276">
        <f ca="1">INDEX(OFFSET('Baseline NFPC'!$D$1:$W$1,$D45-1,0),MATCH(M$4,'Baseline NFPC'!$D$10:$W$10,0))</f>
        <v>1.0658753486388683</v>
      </c>
      <c r="N45" s="276">
        <f ca="1">INDEX(OFFSET('Baseline NFPC'!$D$1:$W$1,$D45-1,0),MATCH(N$4,'Baseline NFPC'!$D$10:$W$10,0))</f>
        <v>1.1242269642376297</v>
      </c>
      <c r="O45" s="276">
        <f ca="1">INDEX(OFFSET('Baseline NFPC'!$D$1:$W$1,$D45-1,0),MATCH(O$4,'Baseline NFPC'!$D$10:$W$10,0))</f>
        <v>1.1853366867190684</v>
      </c>
      <c r="P45" s="276">
        <f ca="1">INDEX(OFFSET('Baseline NFPC'!$D$1:$W$1,$D45-1,0),MATCH(P$4,'Baseline NFPC'!$D$10:$W$10,0))</f>
        <v>1.2490236986556693</v>
      </c>
      <c r="Q45" s="276">
        <f ca="1">INDEX(OFFSET('Baseline NFPC'!$D$1:$W$1,$D45-1,0),MATCH(Q$4,'Baseline NFPC'!$D$10:$W$10,0))</f>
        <v>1.3175787035912452</v>
      </c>
      <c r="R45" s="276">
        <f ca="1">INDEX(OFFSET('Baseline NFPC'!$D$1:$W$1,$D45-1,0),MATCH(R$4,'Baseline NFPC'!$D$10:$W$10,0))</f>
        <v>1.3918602190815028</v>
      </c>
      <c r="S45" s="276">
        <f ca="1">INDEX(OFFSET('Baseline NFPC'!$D$1:$W$1,$D45-1,0),MATCH(S$4,'Baseline NFPC'!$D$10:$W$10,0))</f>
        <v>1.4714178256666011</v>
      </c>
      <c r="T45" s="276">
        <f ca="1">INDEX(OFFSET('Baseline NFPC'!$D$1:$W$1,$D45-1,0),MATCH(T$4,'Baseline NFPC'!$D$10:$W$10,0))</f>
        <v>1.5560155795519359</v>
      </c>
      <c r="U45" s="276">
        <f ca="1">INDEX(OFFSET('Baseline NFPC'!$D$1:$W$1,$D45-1,0),MATCH(U$4,'Baseline NFPC'!$D$10:$W$10,0))</f>
        <v>1.6461413352958496</v>
      </c>
      <c r="V45" s="276">
        <f ca="1">INDEX(OFFSET('Baseline NFPC'!$D$1:$W$1,$D45-1,0),MATCH(V$4,'Baseline NFPC'!$D$10:$W$10,0))</f>
        <v>1.740051991101043</v>
      </c>
      <c r="W45" s="276">
        <f ca="1">INDEX(OFFSET('Baseline NFPC'!$D$1:$W$1,$D45-1,0),MATCH(W$4,'Baseline NFPC'!$D$10:$W$10,0))</f>
        <v>1.8378287706769831</v>
      </c>
      <c r="X45" s="276">
        <f ca="1">INDEX(OFFSET('Baseline NFPC'!$D$1:$W$1,$D45-1,0),MATCH(X$4,'Baseline NFPC'!$D$10:$W$10,0))</f>
        <v>1.9412604510605311</v>
      </c>
      <c r="Y45" s="192"/>
    </row>
    <row r="46" spans="1:25" x14ac:dyDescent="0.2">
      <c r="A46" s="192"/>
      <c r="B46" s="283">
        <v>6</v>
      </c>
      <c r="C46" s="290" t="s">
        <v>66</v>
      </c>
      <c r="D46" s="288">
        <v>36</v>
      </c>
      <c r="E46" s="289" t="s">
        <v>159</v>
      </c>
      <c r="F46" s="276">
        <f ca="1">INDEX(OFFSET('Baseline NFPC'!$D$1:$W$1,$D46-1,0),MATCH(F$4,'Baseline NFPC'!$D$10:$W$10,0))</f>
        <v>2.79</v>
      </c>
      <c r="G46" s="276">
        <f ca="1">INDEX(OFFSET('Baseline NFPC'!$D$1:$W$1,$D46-1,0),MATCH(G$4,'Baseline NFPC'!$D$10:$W$10,0))</f>
        <v>2.7206269999999999</v>
      </c>
      <c r="H46" s="276">
        <f ca="1">INDEX(OFFSET('Baseline NFPC'!$D$1:$W$1,$D46-1,0),MATCH(H$4,'Baseline NFPC'!$D$10:$W$10,0))</f>
        <v>2.7825880000000001</v>
      </c>
      <c r="I46" s="276">
        <f ca="1">INDEX(OFFSET('Baseline NFPC'!$D$1:$W$1,$D46-1,0),MATCH(I$4,'Baseline NFPC'!$D$10:$W$10,0))</f>
        <v>2.7910632500000001</v>
      </c>
      <c r="J46" s="276">
        <f ca="1">INDEX(OFFSET('Baseline NFPC'!$D$1:$W$1,$D46-1,0),MATCH(J$4,'Baseline NFPC'!$D$10:$W$10,0))</f>
        <v>2.7995385000000002</v>
      </c>
      <c r="K46" s="276">
        <f ca="1">INDEX(OFFSET('Baseline NFPC'!$D$1:$W$1,$D46-1,0),MATCH(K$4,'Baseline NFPC'!$D$10:$W$10,0))</f>
        <v>2.8080137500000002</v>
      </c>
      <c r="L46" s="276">
        <f ca="1">INDEX(OFFSET('Baseline NFPC'!$D$1:$W$1,$D46-1,0),MATCH(L$4,'Baseline NFPC'!$D$10:$W$10,0))</f>
        <v>2.8164890000000002</v>
      </c>
      <c r="M46" s="276">
        <f ca="1">INDEX(OFFSET('Baseline NFPC'!$D$1:$W$1,$D46-1,0),MATCH(M$4,'Baseline NFPC'!$D$10:$W$10,0))</f>
        <v>2.8249642500000003</v>
      </c>
      <c r="N46" s="276">
        <f ca="1">INDEX(OFFSET('Baseline NFPC'!$D$1:$W$1,$D46-1,0),MATCH(N$4,'Baseline NFPC'!$D$10:$W$10,0))</f>
        <v>2.8334395000000003</v>
      </c>
      <c r="O46" s="276">
        <f ca="1">INDEX(OFFSET('Baseline NFPC'!$D$1:$W$1,$D46-1,0),MATCH(O$4,'Baseline NFPC'!$D$10:$W$10,0))</f>
        <v>2.8419147500000004</v>
      </c>
      <c r="P46" s="276">
        <f ca="1">INDEX(OFFSET('Baseline NFPC'!$D$1:$W$1,$D46-1,0),MATCH(P$4,'Baseline NFPC'!$D$10:$W$10,0))</f>
        <v>2.85039</v>
      </c>
      <c r="Q46" s="276">
        <f ca="1">INDEX(OFFSET('Baseline NFPC'!$D$1:$W$1,$D46-1,0),MATCH(Q$4,'Baseline NFPC'!$D$10:$W$10,0))</f>
        <v>2.9078705</v>
      </c>
      <c r="R46" s="276">
        <f ca="1">INDEX(OFFSET('Baseline NFPC'!$D$1:$W$1,$D46-1,0),MATCH(R$4,'Baseline NFPC'!$D$10:$W$10,0))</f>
        <v>2.9653510000000001</v>
      </c>
      <c r="S46" s="276">
        <f ca="1">INDEX(OFFSET('Baseline NFPC'!$D$1:$W$1,$D46-1,0),MATCH(S$4,'Baseline NFPC'!$D$10:$W$10,0))</f>
        <v>3.0228315000000001</v>
      </c>
      <c r="T46" s="276">
        <f ca="1">INDEX(OFFSET('Baseline NFPC'!$D$1:$W$1,$D46-1,0),MATCH(T$4,'Baseline NFPC'!$D$10:$W$10,0))</f>
        <v>3.0803120000000002</v>
      </c>
      <c r="U46" s="276">
        <f ca="1">INDEX(OFFSET('Baseline NFPC'!$D$1:$W$1,$D46-1,0),MATCH(U$4,'Baseline NFPC'!$D$10:$W$10,0))</f>
        <v>3.1377924999999998</v>
      </c>
      <c r="V46" s="276">
        <f ca="1">INDEX(OFFSET('Baseline NFPC'!$D$1:$W$1,$D46-1,0),MATCH(V$4,'Baseline NFPC'!$D$10:$W$10,0))</f>
        <v>3.1952730000000003</v>
      </c>
      <c r="W46" s="276">
        <f ca="1">INDEX(OFFSET('Baseline NFPC'!$D$1:$W$1,$D46-1,0),MATCH(W$4,'Baseline NFPC'!$D$10:$W$10,0))</f>
        <v>3.2527534999999999</v>
      </c>
      <c r="X46" s="276">
        <f ca="1">INDEX(OFFSET('Baseline NFPC'!$D$1:$W$1,$D46-1,0),MATCH(X$4,'Baseline NFPC'!$D$10:$W$10,0))</f>
        <v>3.3102339999999999</v>
      </c>
      <c r="Y46" s="192"/>
    </row>
    <row r="47" spans="1:25" x14ac:dyDescent="0.2">
      <c r="A47" s="192"/>
      <c r="B47" s="283">
        <v>7</v>
      </c>
      <c r="C47" s="290" t="s">
        <v>67</v>
      </c>
      <c r="D47" s="288">
        <v>37</v>
      </c>
      <c r="E47" s="289" t="s">
        <v>159</v>
      </c>
      <c r="F47" s="276">
        <f ca="1">INDEX(OFFSET('Baseline NFPC'!$D$1:$W$1,$D47-1,0),MATCH(F$4,'Baseline NFPC'!$D$10:$W$10,0))</f>
        <v>3.43</v>
      </c>
      <c r="G47" s="276">
        <f ca="1">INDEX(OFFSET('Baseline NFPC'!$D$1:$W$1,$D47-1,0),MATCH(G$4,'Baseline NFPC'!$D$10:$W$10,0))</f>
        <v>3.5642079999999998</v>
      </c>
      <c r="H47" s="276">
        <f ca="1">INDEX(OFFSET('Baseline NFPC'!$D$1:$W$1,$D47-1,0),MATCH(H$4,'Baseline NFPC'!$D$10:$W$10,0))</f>
        <v>2.8163749999999999</v>
      </c>
      <c r="I47" s="276">
        <f ca="1">INDEX(OFFSET('Baseline NFPC'!$D$1:$W$1,$D47-1,0),MATCH(I$4,'Baseline NFPC'!$D$10:$W$10,0))</f>
        <v>2.8050893749999997</v>
      </c>
      <c r="J47" s="276">
        <f ca="1">INDEX(OFFSET('Baseline NFPC'!$D$1:$W$1,$D47-1,0),MATCH(J$4,'Baseline NFPC'!$D$10:$W$10,0))</f>
        <v>2.7938037499999995</v>
      </c>
      <c r="K47" s="276">
        <f ca="1">INDEX(OFFSET('Baseline NFPC'!$D$1:$W$1,$D47-1,0),MATCH(K$4,'Baseline NFPC'!$D$10:$W$10,0))</f>
        <v>2.7825181249999993</v>
      </c>
      <c r="L47" s="276">
        <f ca="1">INDEX(OFFSET('Baseline NFPC'!$D$1:$W$1,$D47-1,0),MATCH(L$4,'Baseline NFPC'!$D$10:$W$10,0))</f>
        <v>2.7712324999999991</v>
      </c>
      <c r="M47" s="276">
        <f ca="1">INDEX(OFFSET('Baseline NFPC'!$D$1:$W$1,$D47-1,0),MATCH(M$4,'Baseline NFPC'!$D$10:$W$10,0))</f>
        <v>2.7599468749999989</v>
      </c>
      <c r="N47" s="276">
        <f ca="1">INDEX(OFFSET('Baseline NFPC'!$D$1:$W$1,$D47-1,0),MATCH(N$4,'Baseline NFPC'!$D$10:$W$10,0))</f>
        <v>2.7486612499999987</v>
      </c>
      <c r="O47" s="276">
        <f ca="1">INDEX(OFFSET('Baseline NFPC'!$D$1:$W$1,$D47-1,0),MATCH(O$4,'Baseline NFPC'!$D$10:$W$10,0))</f>
        <v>2.7373756249999985</v>
      </c>
      <c r="P47" s="276">
        <f ca="1">INDEX(OFFSET('Baseline NFPC'!$D$1:$W$1,$D47-1,0),MATCH(P$4,'Baseline NFPC'!$D$10:$W$10,0))</f>
        <v>2.7260900000000001</v>
      </c>
      <c r="Q47" s="276">
        <f ca="1">INDEX(OFFSET('Baseline NFPC'!$D$1:$W$1,$D47-1,0),MATCH(Q$4,'Baseline NFPC'!$D$10:$W$10,0))</f>
        <v>2.6897855000000002</v>
      </c>
      <c r="R47" s="276">
        <f ca="1">INDEX(OFFSET('Baseline NFPC'!$D$1:$W$1,$D47-1,0),MATCH(R$4,'Baseline NFPC'!$D$10:$W$10,0))</f>
        <v>2.6534810000000002</v>
      </c>
      <c r="S47" s="276">
        <f ca="1">INDEX(OFFSET('Baseline NFPC'!$D$1:$W$1,$D47-1,0),MATCH(S$4,'Baseline NFPC'!$D$10:$W$10,0))</f>
        <v>2.6171765000000002</v>
      </c>
      <c r="T47" s="276">
        <f ca="1">INDEX(OFFSET('Baseline NFPC'!$D$1:$W$1,$D47-1,0),MATCH(T$4,'Baseline NFPC'!$D$10:$W$10,0))</f>
        <v>2.5808720000000003</v>
      </c>
      <c r="U47" s="276">
        <f ca="1">INDEX(OFFSET('Baseline NFPC'!$D$1:$W$1,$D47-1,0),MATCH(U$4,'Baseline NFPC'!$D$10:$W$10,0))</f>
        <v>2.5445675000000003</v>
      </c>
      <c r="V47" s="276">
        <f ca="1">INDEX(OFFSET('Baseline NFPC'!$D$1:$W$1,$D47-1,0),MATCH(V$4,'Baseline NFPC'!$D$10:$W$10,0))</f>
        <v>2.5082629999999999</v>
      </c>
      <c r="W47" s="276">
        <f ca="1">INDEX(OFFSET('Baseline NFPC'!$D$1:$W$1,$D47-1,0),MATCH(W$4,'Baseline NFPC'!$D$10:$W$10,0))</f>
        <v>2.4719584999999999</v>
      </c>
      <c r="X47" s="276">
        <f ca="1">INDEX(OFFSET('Baseline NFPC'!$D$1:$W$1,$D47-1,0),MATCH(X$4,'Baseline NFPC'!$D$10:$W$10,0))</f>
        <v>2.435654</v>
      </c>
      <c r="Y47" s="192"/>
    </row>
    <row r="48" spans="1:25" x14ac:dyDescent="0.2">
      <c r="A48" s="192"/>
      <c r="B48" s="283">
        <v>8</v>
      </c>
      <c r="C48" s="287" t="s">
        <v>160</v>
      </c>
      <c r="D48" s="288">
        <v>35</v>
      </c>
      <c r="E48" s="289" t="s">
        <v>159</v>
      </c>
      <c r="F48" s="276">
        <f ca="1">INDEX(OFFSET('Baseline NFPC'!$D$1:$W$1,$D48-1,0),MATCH(F$4,'Baseline NFPC'!$D$10:$W$10,0))</f>
        <v>1.3576170000000001</v>
      </c>
      <c r="G48" s="276">
        <f ca="1">INDEX(OFFSET('Baseline NFPC'!$D$1:$W$1,$D48-1,0),MATCH(G$4,'Baseline NFPC'!$D$10:$W$10,0))</f>
        <v>1.5744320000000001</v>
      </c>
      <c r="H48" s="276">
        <f ca="1">INDEX(OFFSET('Baseline NFPC'!$D$1:$W$1,$D48-1,0),MATCH(H$4,'Baseline NFPC'!$D$10:$W$10,0))</f>
        <v>1.603952</v>
      </c>
      <c r="I48" s="276">
        <f ca="1">INDEX(OFFSET('Baseline NFPC'!$D$1:$W$1,$D48-1,0),MATCH(I$4,'Baseline NFPC'!$D$10:$W$10,0))</f>
        <v>1.7849194892872491</v>
      </c>
      <c r="J48" s="276">
        <f ca="1">INDEX(OFFSET('Baseline NFPC'!$D$1:$W$1,$D48-1,0),MATCH(J$4,'Baseline NFPC'!$D$10:$W$10,0))</f>
        <v>1.9156487348916007</v>
      </c>
      <c r="K48" s="276">
        <f ca="1">INDEX(OFFSET('Baseline NFPC'!$D$1:$W$1,$D48-1,0),MATCH(K$4,'Baseline NFPC'!$D$10:$W$10,0))</f>
        <v>2.0300738672458607</v>
      </c>
      <c r="L48" s="276">
        <f ca="1">INDEX(OFFSET('Baseline NFPC'!$D$1:$W$1,$D48-1,0),MATCH(L$4,'Baseline NFPC'!$D$10:$W$10,0))</f>
        <v>2.1307476200015003</v>
      </c>
      <c r="M48" s="276">
        <f ca="1">INDEX(OFFSET('Baseline NFPC'!$D$1:$W$1,$D48-1,0),MATCH(M$4,'Baseline NFPC'!$D$10:$W$10,0))</f>
        <v>2.2222567093504333</v>
      </c>
      <c r="N48" s="276">
        <f ca="1">INDEX(OFFSET('Baseline NFPC'!$D$1:$W$1,$D48-1,0),MATCH(N$4,'Baseline NFPC'!$D$10:$W$10,0))</f>
        <v>2.3051082573203399</v>
      </c>
      <c r="O48" s="276">
        <f ca="1">INDEX(OFFSET('Baseline NFPC'!$D$1:$W$1,$D48-1,0),MATCH(O$4,'Baseline NFPC'!$D$10:$W$10,0))</f>
        <v>2.3798479521800173</v>
      </c>
      <c r="P48" s="276">
        <f ca="1">INDEX(OFFSET('Baseline NFPC'!$D$1:$W$1,$D48-1,0),MATCH(P$4,'Baseline NFPC'!$D$10:$W$10,0))</f>
        <v>2.4468068604534059</v>
      </c>
      <c r="Q48" s="276">
        <f ca="1">INDEX(OFFSET('Baseline NFPC'!$D$1:$W$1,$D48-1,0),MATCH(Q$4,'Baseline NFPC'!$D$10:$W$10,0))</f>
        <v>2.510971414770506</v>
      </c>
      <c r="R48" s="276">
        <f ca="1">INDEX(OFFSET('Baseline NFPC'!$D$1:$W$1,$D48-1,0),MATCH(R$4,'Baseline NFPC'!$D$10:$W$10,0))</f>
        <v>2.5739125106809659</v>
      </c>
      <c r="S48" s="276">
        <f ca="1">INDEX(OFFSET('Baseline NFPC'!$D$1:$W$1,$D48-1,0),MATCH(S$4,'Baseline NFPC'!$D$10:$W$10,0))</f>
        <v>2.6355082389603095</v>
      </c>
      <c r="T48" s="276">
        <f ca="1">INDEX(OFFSET('Baseline NFPC'!$D$1:$W$1,$D48-1,0),MATCH(T$4,'Baseline NFPC'!$D$10:$W$10,0))</f>
        <v>2.6960046850367574</v>
      </c>
      <c r="U48" s="276">
        <f ca="1">INDEX(OFFSET('Baseline NFPC'!$D$1:$W$1,$D48-1,0),MATCH(U$4,'Baseline NFPC'!$D$10:$W$10,0))</f>
        <v>2.7555154180793853</v>
      </c>
      <c r="V48" s="276">
        <f ca="1">INDEX(OFFSET('Baseline NFPC'!$D$1:$W$1,$D48-1,0),MATCH(V$4,'Baseline NFPC'!$D$10:$W$10,0))</f>
        <v>2.8139353686364283</v>
      </c>
      <c r="W48" s="276">
        <f ca="1">INDEX(OFFSET('Baseline NFPC'!$D$1:$W$1,$D48-1,0),MATCH(W$4,'Baseline NFPC'!$D$10:$W$10,0))</f>
        <v>2.8713987511783925</v>
      </c>
      <c r="X48" s="276">
        <f ca="1">INDEX(OFFSET('Baseline NFPC'!$D$1:$W$1,$D48-1,0),MATCH(X$4,'Baseline NFPC'!$D$10:$W$10,0))</f>
        <v>2.9279547564943371</v>
      </c>
      <c r="Y48" s="192"/>
    </row>
    <row r="49" spans="1:25" x14ac:dyDescent="0.2">
      <c r="A49" s="192"/>
      <c r="B49" s="283">
        <v>9</v>
      </c>
      <c r="C49" s="291" t="s">
        <v>40</v>
      </c>
      <c r="D49" s="288">
        <v>26</v>
      </c>
      <c r="E49" s="289" t="s">
        <v>162</v>
      </c>
      <c r="F49" s="276">
        <f ca="1">(INDEX(OFFSET('Baseline NFPC'!$D$1:$W$1,$D49-1,0),MATCH(F$4,'Baseline NFPC'!$D$10:$W$10,0))/INDEX(OFFSET('Baseline NFPC'!$D$1:$W$1,$D49-1,0),MATCH(E$4,'Baseline NFPC'!$D$10:$W$10,0))-1)*100</f>
        <v>2.1249990000000052</v>
      </c>
      <c r="G49" s="276">
        <f ca="1">(INDEX(OFFSET('Baseline NFPC'!$D$1:$W$1,$D49-1,0),MATCH(G$4,'Baseline NFPC'!$D$10:$W$10,0))/INDEX(OFFSET('Baseline NFPC'!$D$1:$W$1,$D49-1,0),MATCH(F$4,'Baseline NFPC'!$D$10:$W$10,0))-1)*100</f>
        <v>1.8270709999999912</v>
      </c>
      <c r="H49" s="276">
        <f ca="1">(INDEX(OFFSET('Baseline NFPC'!$D$1:$W$1,$D49-1,0),MATCH(H$4,'Baseline NFPC'!$D$10:$W$10,0))/INDEX(OFFSET('Baseline NFPC'!$D$1:$W$1,$D49-1,0),MATCH(G$4,'Baseline NFPC'!$D$10:$W$10,0))-1)*100</f>
        <v>1.6647529999999966</v>
      </c>
      <c r="I49" s="276">
        <f ca="1">(INDEX(OFFSET('Baseline NFPC'!$D$1:$W$1,$D49-1,0),MATCH(I$4,'Baseline NFPC'!$D$10:$W$10,0))/INDEX(OFFSET('Baseline NFPC'!$D$1:$W$1,$D49-1,0),MATCH(H$4,'Baseline NFPC'!$D$10:$W$10,0))-1)*100</f>
        <v>1.4174410000000082</v>
      </c>
      <c r="J49" s="276">
        <f ca="1">(INDEX(OFFSET('Baseline NFPC'!$D$1:$W$1,$D49-1,0),MATCH(J$4,'Baseline NFPC'!$D$10:$W$10,0))/INDEX(OFFSET('Baseline NFPC'!$D$1:$W$1,$D49-1,0),MATCH(I$4,'Baseline NFPC'!$D$10:$W$10,0))-1)*100</f>
        <v>1.1267890000000058</v>
      </c>
      <c r="K49" s="276">
        <f ca="1">(INDEX(OFFSET('Baseline NFPC'!$D$1:$W$1,$D49-1,0),MATCH(K$4,'Baseline NFPC'!$D$10:$W$10,0))/INDEX(OFFSET('Baseline NFPC'!$D$1:$W$1,$D49-1,0),MATCH(J$4,'Baseline NFPC'!$D$10:$W$10,0))-1)*100</f>
        <v>1.0689179999999965</v>
      </c>
      <c r="L49" s="276">
        <f ca="1">(INDEX(OFFSET('Baseline NFPC'!$D$1:$W$1,$D49-1,0),MATCH(L$4,'Baseline NFPC'!$D$10:$W$10,0))/INDEX(OFFSET('Baseline NFPC'!$D$1:$W$1,$D49-1,0),MATCH(K$4,'Baseline NFPC'!$D$10:$W$10,0))-1)*100</f>
        <v>1.0625859999999987</v>
      </c>
      <c r="M49" s="276">
        <f ca="1">(INDEX(OFFSET('Baseline NFPC'!$D$1:$W$1,$D49-1,0),MATCH(M$4,'Baseline NFPC'!$D$10:$W$10,0))/INDEX(OFFSET('Baseline NFPC'!$D$1:$W$1,$D49-1,0),MATCH(L$4,'Baseline NFPC'!$D$10:$W$10,0))-1)*100</f>
        <v>1.0326730000000062</v>
      </c>
      <c r="N49" s="276">
        <f ca="1">(INDEX(OFFSET('Baseline NFPC'!$D$1:$W$1,$D49-1,0),MATCH(N$4,'Baseline NFPC'!$D$10:$W$10,0))/INDEX(OFFSET('Baseline NFPC'!$D$1:$W$1,$D49-1,0),MATCH(M$4,'Baseline NFPC'!$D$10:$W$10,0))-1)*100</f>
        <v>0.99758860000001004</v>
      </c>
      <c r="O49" s="276">
        <f ca="1">(INDEX(OFFSET('Baseline NFPC'!$D$1:$W$1,$D49-1,0),MATCH(O$4,'Baseline NFPC'!$D$10:$W$10,0))/INDEX(OFFSET('Baseline NFPC'!$D$1:$W$1,$D49-1,0),MATCH(N$4,'Baseline NFPC'!$D$10:$W$10,0))-1)*100</f>
        <v>0.97505430000000004</v>
      </c>
      <c r="P49" s="276">
        <f ca="1">(INDEX(OFFSET('Baseline NFPC'!$D$1:$W$1,$D49-1,0),MATCH(P$4,'Baseline NFPC'!$D$10:$W$10,0))/INDEX(OFFSET('Baseline NFPC'!$D$1:$W$1,$D49-1,0),MATCH(O$4,'Baseline NFPC'!$D$10:$W$10,0))-1)*100</f>
        <v>0.98748060000000137</v>
      </c>
      <c r="Q49" s="276">
        <f ca="1">(INDEX(OFFSET('Baseline NFPC'!$D$1:$W$1,$D49-1,0),MATCH(Q$4,'Baseline NFPC'!$D$10:$W$10,0))/INDEX(OFFSET('Baseline NFPC'!$D$1:$W$1,$D49-1,0),MATCH(P$4,'Baseline NFPC'!$D$10:$W$10,0))-1)*100</f>
        <v>1.0150059999999961</v>
      </c>
      <c r="R49" s="276">
        <f ca="1">(INDEX(OFFSET('Baseline NFPC'!$D$1:$W$1,$D49-1,0),MATCH(R$4,'Baseline NFPC'!$D$10:$W$10,0))/INDEX(OFFSET('Baseline NFPC'!$D$1:$W$1,$D49-1,0),MATCH(Q$4,'Baseline NFPC'!$D$10:$W$10,0))-1)*100</f>
        <v>1.042531999999996</v>
      </c>
      <c r="S49" s="276">
        <f ca="1">(INDEX(OFFSET('Baseline NFPC'!$D$1:$W$1,$D49-1,0),MATCH(S$4,'Baseline NFPC'!$D$10:$W$10,0))/INDEX(OFFSET('Baseline NFPC'!$D$1:$W$1,$D49-1,0),MATCH(R$4,'Baseline NFPC'!$D$10:$W$10,0))-1)*100</f>
        <v>1.070057999999996</v>
      </c>
      <c r="T49" s="276">
        <f ca="1">(INDEX(OFFSET('Baseline NFPC'!$D$1:$W$1,$D49-1,0),MATCH(T$4,'Baseline NFPC'!$D$10:$W$10,0))/INDEX(OFFSET('Baseline NFPC'!$D$1:$W$1,$D49-1,0),MATCH(S$4,'Baseline NFPC'!$D$10:$W$10,0))-1)*100</f>
        <v>1.1798299999999928</v>
      </c>
      <c r="U49" s="276">
        <f ca="1">(INDEX(OFFSET('Baseline NFPC'!$D$1:$W$1,$D49-1,0),MATCH(U$4,'Baseline NFPC'!$D$10:$W$10,0))/INDEX(OFFSET('Baseline NFPC'!$D$1:$W$1,$D49-1,0),MATCH(T$4,'Baseline NFPC'!$D$10:$W$10,0))-1)*100</f>
        <v>1.2857679999999982</v>
      </c>
      <c r="V49" s="276">
        <f ca="1">(INDEX(OFFSET('Baseline NFPC'!$D$1:$W$1,$D49-1,0),MATCH(V$4,'Baseline NFPC'!$D$10:$W$10,0))/INDEX(OFFSET('Baseline NFPC'!$D$1:$W$1,$D49-1,0),MATCH(U$4,'Baseline NFPC'!$D$10:$W$10,0))-1)*100</f>
        <v>1.4476530000000043</v>
      </c>
      <c r="W49" s="276">
        <f ca="1">(INDEX(OFFSET('Baseline NFPC'!$D$1:$W$1,$D49-1,0),MATCH(W$4,'Baseline NFPC'!$D$10:$W$10,0))/INDEX(OFFSET('Baseline NFPC'!$D$1:$W$1,$D49-1,0),MATCH(V$4,'Baseline NFPC'!$D$10:$W$10,0))-1)*100</f>
        <v>1.6124210000000083</v>
      </c>
      <c r="X49" s="276">
        <f ca="1">(INDEX(OFFSET('Baseline NFPC'!$D$1:$W$1,$D49-1,0),MATCH(X$4,'Baseline NFPC'!$D$10:$W$10,0))/INDEX(OFFSET('Baseline NFPC'!$D$1:$W$1,$D49-1,0),MATCH(W$4,'Baseline NFPC'!$D$10:$W$10,0))-1)*100</f>
        <v>1.6644220000000098</v>
      </c>
      <c r="Y49" s="192"/>
    </row>
    <row r="50" spans="1:25" x14ac:dyDescent="0.2">
      <c r="A50" s="192"/>
      <c r="B50" s="283">
        <v>10</v>
      </c>
      <c r="C50" s="279" t="s">
        <v>163</v>
      </c>
      <c r="D50" s="288">
        <v>23</v>
      </c>
      <c r="E50" s="289" t="s">
        <v>162</v>
      </c>
      <c r="F50" s="276">
        <f ca="1">INDEX(OFFSET('Baseline NFPC'!$D$1:$W$1,$D50-1,0),MATCH(F$4,'Baseline NFPC'!$D$10:$W$10,0))</f>
        <v>9.7021999999999997E-2</v>
      </c>
      <c r="G50" s="276">
        <f ca="1">INDEX(OFFSET('Baseline NFPC'!$D$1:$W$1,$D50-1,0),MATCH(G$4,'Baseline NFPC'!$D$10:$W$10,0))</f>
        <v>0.76041639999999999</v>
      </c>
      <c r="H50" s="276">
        <f ca="1">INDEX(OFFSET('Baseline NFPC'!$D$1:$W$1,$D50-1,0),MATCH(H$4,'Baseline NFPC'!$D$10:$W$10,0))</f>
        <v>1.4546490000000001</v>
      </c>
      <c r="I50" s="276">
        <f ca="1">INDEX(OFFSET('Baseline NFPC'!$D$1:$W$1,$D50-1,0),MATCH(I$4,'Baseline NFPC'!$D$10:$W$10,0))</f>
        <v>1.8523499999999915</v>
      </c>
      <c r="J50" s="276">
        <f ca="1">INDEX(OFFSET('Baseline NFPC'!$D$1:$W$1,$D50-1,0),MATCH(J$4,'Baseline NFPC'!$D$10:$W$10,0))</f>
        <v>1.7025400000000079</v>
      </c>
      <c r="K50" s="276">
        <f ca="1">INDEX(OFFSET('Baseline NFPC'!$D$1:$W$1,$D50-1,0),MATCH(K$4,'Baseline NFPC'!$D$10:$W$10,0))</f>
        <v>1.3549959999999972</v>
      </c>
      <c r="L50" s="276">
        <f ca="1">INDEX(OFFSET('Baseline NFPC'!$D$1:$W$1,$D50-1,0),MATCH(L$4,'Baseline NFPC'!$D$10:$W$10,0))</f>
        <v>1.0625850000000048</v>
      </c>
      <c r="M50" s="276">
        <f ca="1">INDEX(OFFSET('Baseline NFPC'!$D$1:$W$1,$D50-1,0),MATCH(M$4,'Baseline NFPC'!$D$10:$W$10,0))</f>
        <v>1.032674999999994</v>
      </c>
      <c r="N50" s="276">
        <f ca="1">INDEX(OFFSET('Baseline NFPC'!$D$1:$W$1,$D50-1,0),MATCH(N$4,'Baseline NFPC'!$D$10:$W$10,0))</f>
        <v>0.99759059999999788</v>
      </c>
      <c r="O50" s="276">
        <f ca="1">INDEX(OFFSET('Baseline NFPC'!$D$1:$W$1,$D50-1,0),MATCH(O$4,'Baseline NFPC'!$D$10:$W$10,0))</f>
        <v>0.97505749999999836</v>
      </c>
      <c r="P50" s="276">
        <f ca="1">INDEX(OFFSET('Baseline NFPC'!$D$1:$W$1,$D50-1,0),MATCH(P$4,'Baseline NFPC'!$D$10:$W$10,0))</f>
        <v>0.9874815999999953</v>
      </c>
      <c r="Q50" s="276">
        <f ca="1">INDEX(OFFSET('Baseline NFPC'!$D$1:$W$1,$D50-1,0),MATCH(Q$4,'Baseline NFPC'!$D$10:$W$10,0))</f>
        <v>1.0150080000000061</v>
      </c>
      <c r="R50" s="276">
        <f ca="1">INDEX(OFFSET('Baseline NFPC'!$D$1:$W$1,$D50-1,0),MATCH(R$4,'Baseline NFPC'!$D$10:$W$10,0))</f>
        <v>1.0425329999999899</v>
      </c>
      <c r="S50" s="276">
        <f ca="1">INDEX(OFFSET('Baseline NFPC'!$D$1:$W$1,$D50-1,0),MATCH(S$4,'Baseline NFPC'!$D$10:$W$10,0))</f>
        <v>1.070057000000002</v>
      </c>
      <c r="T50" s="276">
        <f ca="1">INDEX(OFFSET('Baseline NFPC'!$D$1:$W$1,$D50-1,0),MATCH(T$4,'Baseline NFPC'!$D$10:$W$10,0))</f>
        <v>1.1798269999999889</v>
      </c>
      <c r="U50" s="276">
        <f ca="1">INDEX(OFFSET('Baseline NFPC'!$D$1:$W$1,$D50-1,0),MATCH(U$4,'Baseline NFPC'!$D$10:$W$10,0))</f>
        <v>1.2857700000000083</v>
      </c>
      <c r="V50" s="276">
        <f ca="1">INDEX(OFFSET('Baseline NFPC'!$D$1:$W$1,$D50-1,0),MATCH(V$4,'Baseline NFPC'!$D$10:$W$10,0))</f>
        <v>1.4476530000000043</v>
      </c>
      <c r="W50" s="276">
        <f ca="1">INDEX(OFFSET('Baseline NFPC'!$D$1:$W$1,$D50-1,0),MATCH(W$4,'Baseline NFPC'!$D$10:$W$10,0))</f>
        <v>1.6124210000000083</v>
      </c>
      <c r="X50" s="276">
        <f ca="1">INDEX(OFFSET('Baseline NFPC'!$D$1:$W$1,$D50-1,0),MATCH(X$4,'Baseline NFPC'!$D$10:$W$10,0))</f>
        <v>1.6644230000000038</v>
      </c>
      <c r="Y50" s="192"/>
    </row>
    <row r="51" spans="1:25" x14ac:dyDescent="0.2">
      <c r="A51" s="192"/>
      <c r="B51" s="283">
        <v>11</v>
      </c>
      <c r="C51" s="292" t="s">
        <v>164</v>
      </c>
      <c r="D51" s="288">
        <v>41</v>
      </c>
      <c r="E51" s="289" t="s">
        <v>162</v>
      </c>
      <c r="F51" s="276">
        <f ca="1">INDEX(OFFSET('Baseline NFPC'!$D$1:$W$1,$D51-1,0),MATCH(F$4,'Baseline NFPC'!$D$10:$W$10,0))</f>
        <v>7.7757829999999997</v>
      </c>
      <c r="G51" s="276">
        <f ca="1">INDEX(OFFSET('Baseline NFPC'!$D$1:$W$1,$D51-1,0),MATCH(G$4,'Baseline NFPC'!$D$10:$W$10,0))</f>
        <v>3.72648</v>
      </c>
      <c r="H51" s="276">
        <f ca="1">INDEX(OFFSET('Baseline NFPC'!$D$1:$W$1,$D51-1,0),MATCH(H$4,'Baseline NFPC'!$D$10:$W$10,0))</f>
        <v>2.2520359999999999</v>
      </c>
      <c r="I51" s="276">
        <f ca="1">INDEX(OFFSET('Baseline NFPC'!$D$1:$W$1,$D51-1,0),MATCH(I$4,'Baseline NFPC'!$D$10:$W$10,0))</f>
        <v>2.2892815</v>
      </c>
      <c r="J51" s="276">
        <f ca="1">INDEX(OFFSET('Baseline NFPC'!$D$1:$W$1,$D51-1,0),MATCH(J$4,'Baseline NFPC'!$D$10:$W$10,0))</f>
        <v>2.326527</v>
      </c>
      <c r="K51" s="276">
        <f ca="1">INDEX(OFFSET('Baseline NFPC'!$D$1:$W$1,$D51-1,0),MATCH(K$4,'Baseline NFPC'!$D$10:$W$10,0))</f>
        <v>2.3637725000000001</v>
      </c>
      <c r="L51" s="276">
        <f ca="1">INDEX(OFFSET('Baseline NFPC'!$D$1:$W$1,$D51-1,0),MATCH(L$4,'Baseline NFPC'!$D$10:$W$10,0))</f>
        <v>2.4010179999999997</v>
      </c>
      <c r="M51" s="276">
        <f ca="1">INDEX(OFFSET('Baseline NFPC'!$D$1:$W$1,$D51-1,0),MATCH(M$4,'Baseline NFPC'!$D$10:$W$10,0))</f>
        <v>2.4382634999999997</v>
      </c>
      <c r="N51" s="276">
        <f ca="1">INDEX(OFFSET('Baseline NFPC'!$D$1:$W$1,$D51-1,0),MATCH(N$4,'Baseline NFPC'!$D$10:$W$10,0))</f>
        <v>2.4755089999999997</v>
      </c>
      <c r="O51" s="276">
        <f ca="1">INDEX(OFFSET('Baseline NFPC'!$D$1:$W$1,$D51-1,0),MATCH(O$4,'Baseline NFPC'!$D$10:$W$10,0))</f>
        <v>2.5127544999999998</v>
      </c>
      <c r="P51" s="276">
        <f ca="1">INDEX(OFFSET('Baseline NFPC'!$D$1:$W$1,$D51-1,0),MATCH(P$4,'Baseline NFPC'!$D$10:$W$10,0))</f>
        <v>2.5499999999999998</v>
      </c>
      <c r="Q51" s="276">
        <f ca="1">INDEX(OFFSET('Baseline NFPC'!$D$1:$W$1,$D51-1,0),MATCH(Q$4,'Baseline NFPC'!$D$10:$W$10,0))</f>
        <v>2.5225</v>
      </c>
      <c r="R51" s="276">
        <f ca="1">INDEX(OFFSET('Baseline NFPC'!$D$1:$W$1,$D51-1,0),MATCH(R$4,'Baseline NFPC'!$D$10:$W$10,0))</f>
        <v>2.4949999999999997</v>
      </c>
      <c r="S51" s="276">
        <f ca="1">INDEX(OFFSET('Baseline NFPC'!$D$1:$W$1,$D51-1,0),MATCH(S$4,'Baseline NFPC'!$D$10:$W$10,0))</f>
        <v>2.4674999999999998</v>
      </c>
      <c r="T51" s="276">
        <f ca="1">INDEX(OFFSET('Baseline NFPC'!$D$1:$W$1,$D51-1,0),MATCH(T$4,'Baseline NFPC'!$D$10:$W$10,0))</f>
        <v>2.44</v>
      </c>
      <c r="U51" s="276">
        <f ca="1">INDEX(OFFSET('Baseline NFPC'!$D$1:$W$1,$D51-1,0),MATCH(U$4,'Baseline NFPC'!$D$10:$W$10,0))</f>
        <v>2.4124999999999996</v>
      </c>
      <c r="V51" s="276">
        <f ca="1">INDEX(OFFSET('Baseline NFPC'!$D$1:$W$1,$D51-1,0),MATCH(V$4,'Baseline NFPC'!$D$10:$W$10,0))</f>
        <v>2.3849999999999998</v>
      </c>
      <c r="W51" s="276">
        <f ca="1">INDEX(OFFSET('Baseline NFPC'!$D$1:$W$1,$D51-1,0),MATCH(W$4,'Baseline NFPC'!$D$10:$W$10,0))</f>
        <v>2.3574999999999999</v>
      </c>
      <c r="X51" s="276">
        <f ca="1">INDEX(OFFSET('Baseline NFPC'!$D$1:$W$1,$D51-1,0),MATCH(X$4,'Baseline NFPC'!$D$10:$W$10,0))</f>
        <v>2.33</v>
      </c>
      <c r="Y51" s="192"/>
    </row>
    <row r="52" spans="1:25" x14ac:dyDescent="0.2">
      <c r="A52" s="192"/>
      <c r="B52" s="283">
        <v>12</v>
      </c>
      <c r="C52" s="279" t="s">
        <v>165</v>
      </c>
      <c r="D52" s="288">
        <v>32</v>
      </c>
      <c r="E52" s="289" t="s">
        <v>162</v>
      </c>
      <c r="F52" s="276">
        <f ca="1">INDEX(OFFSET('Baseline NFPC'!$D$1:$W$1,$D52-1,0),MATCH(F$4,'Baseline NFPC'!$D$10:$W$10,0))</f>
        <v>7.8803492201822367</v>
      </c>
      <c r="G52" s="276">
        <f ca="1">INDEX(OFFSET('Baseline NFPC'!$D$1:$W$1,$D52-1,0),MATCH(G$4,'Baseline NFPC'!$D$10:$W$10,0))</f>
        <v>4.5152331650627264</v>
      </c>
      <c r="H52" s="276">
        <f ca="1">INDEX(OFFSET('Baseline NFPC'!$D$1:$W$1,$D52-1,0),MATCH(H$4,'Baseline NFPC'!$D$10:$W$10,0))</f>
        <v>3.7394442191536426</v>
      </c>
      <c r="I52" s="276">
        <f ca="1">INDEX(OFFSET('Baseline NFPC'!$D$1:$W$1,$D52-1,0),MATCH(I$4,'Baseline NFPC'!$D$10:$W$10,0))</f>
        <v>4.1840370058652487</v>
      </c>
      <c r="J52" s="276">
        <f ca="1">INDEX(OFFSET('Baseline NFPC'!$D$1:$W$1,$D52-1,0),MATCH(J$4,'Baseline NFPC'!$D$10:$W$10,0))</f>
        <v>4.0686770527858185</v>
      </c>
      <c r="K52" s="276">
        <f ca="1">INDEX(OFFSET('Baseline NFPC'!$D$1:$W$1,$D52-1,0),MATCH(K$4,'Baseline NFPC'!$D$10:$W$10,0))</f>
        <v>3.7507975228241008</v>
      </c>
      <c r="L52" s="276">
        <f ca="1">INDEX(OFFSET('Baseline NFPC'!$D$1:$W$1,$D52-1,0),MATCH(L$4,'Baseline NFPC'!$D$10:$W$10,0))</f>
        <v>3.4891158571153102</v>
      </c>
      <c r="M52" s="276">
        <f ca="1">INDEX(OFFSET('Baseline NFPC'!$D$1:$W$1,$D52-1,0),MATCH(M$4,'Baseline NFPC'!$D$10:$W$10,0))</f>
        <v>3.4961178375986224</v>
      </c>
      <c r="N52" s="276">
        <f ca="1">INDEX(OFFSET('Baseline NFPC'!$D$1:$W$1,$D52-1,0),MATCH(N$4,'Baseline NFPC'!$D$10:$W$10,0))</f>
        <v>3.4977950450861606</v>
      </c>
      <c r="O52" s="276">
        <f ca="1">INDEX(OFFSET('Baseline NFPC'!$D$1:$W$1,$D52-1,0),MATCH(O$4,'Baseline NFPC'!$D$10:$W$10,0))</f>
        <v>3.5123128012088278</v>
      </c>
      <c r="P52" s="276">
        <f ca="1">INDEX(OFFSET('Baseline NFPC'!$D$1:$W$1,$D52-1,0),MATCH(P$4,'Baseline NFPC'!$D$10:$W$10,0))</f>
        <v>3.562662380800008</v>
      </c>
      <c r="Q52" s="276">
        <f ca="1">INDEX(OFFSET('Baseline NFPC'!$D$1:$W$1,$D52-1,0),MATCH(Q$4,'Baseline NFPC'!$D$10:$W$10,0))</f>
        <v>3.5631115768000043</v>
      </c>
      <c r="R52" s="276">
        <f ca="1">INDEX(OFFSET('Baseline NFPC'!$D$1:$W$1,$D52-1,0),MATCH(R$4,'Baseline NFPC'!$D$10:$W$10,0))</f>
        <v>3.5635441983499883</v>
      </c>
      <c r="S52" s="276">
        <f ca="1">INDEX(OFFSET('Baseline NFPC'!$D$1:$W$1,$D52-1,0),MATCH(S$4,'Baseline NFPC'!$D$10:$W$10,0))</f>
        <v>3.5639606564749959</v>
      </c>
      <c r="T52" s="276">
        <f ca="1">INDEX(OFFSET('Baseline NFPC'!$D$1:$W$1,$D52-1,0),MATCH(T$4,'Baseline NFPC'!$D$10:$W$10,0))</f>
        <v>3.6486147787999856</v>
      </c>
      <c r="U52" s="276">
        <f ca="1">INDEX(OFFSET('Baseline NFPC'!$D$1:$W$1,$D52-1,0),MATCH(U$4,'Baseline NFPC'!$D$10:$W$10,0))</f>
        <v>3.7292892012499967</v>
      </c>
      <c r="V52" s="276">
        <f ca="1">INDEX(OFFSET('Baseline NFPC'!$D$1:$W$1,$D52-1,0),MATCH(V$4,'Baseline NFPC'!$D$10:$W$10,0))</f>
        <v>3.8671795240500018</v>
      </c>
      <c r="W52" s="276">
        <f ca="1">INDEX(OFFSET('Baseline NFPC'!$D$1:$W$1,$D52-1,0),MATCH(W$4,'Baseline NFPC'!$D$10:$W$10,0))</f>
        <v>4.0079338250750052</v>
      </c>
      <c r="X52" s="276">
        <f ca="1">INDEX(OFFSET('Baseline NFPC'!$D$1:$W$1,$D52-1,0),MATCH(X$4,'Baseline NFPC'!$D$10:$W$10,0))</f>
        <v>4.0332040559000193</v>
      </c>
      <c r="Y52" s="192"/>
    </row>
    <row r="53" spans="1:25" x14ac:dyDescent="0.2">
      <c r="A53" s="192"/>
      <c r="B53" s="283">
        <v>13</v>
      </c>
      <c r="C53" s="279" t="s">
        <v>46</v>
      </c>
      <c r="D53" s="278"/>
      <c r="E53" s="289" t="s">
        <v>159</v>
      </c>
      <c r="F53" s="295">
        <f>'Input data'!$C$49</f>
        <v>0.75</v>
      </c>
      <c r="G53" s="192"/>
      <c r="H53" s="192"/>
      <c r="I53" s="192"/>
      <c r="J53" s="192"/>
      <c r="K53" s="192"/>
      <c r="L53" s="192"/>
      <c r="M53" s="192"/>
      <c r="N53" s="192"/>
      <c r="O53" s="192"/>
      <c r="P53" s="192"/>
      <c r="Q53" s="192"/>
      <c r="R53" s="192"/>
      <c r="S53" s="192"/>
      <c r="T53" s="192"/>
      <c r="U53" s="192"/>
      <c r="V53" s="192"/>
      <c r="W53" s="192"/>
      <c r="X53" s="192"/>
      <c r="Y53" s="192"/>
    </row>
    <row r="54" spans="1:25" x14ac:dyDescent="0.2">
      <c r="A54" s="192"/>
      <c r="B54" s="277"/>
      <c r="C54" s="298"/>
      <c r="D54" s="298"/>
      <c r="E54" s="298"/>
      <c r="F54" s="298"/>
      <c r="G54" s="298"/>
      <c r="H54" s="298"/>
      <c r="I54" s="298"/>
      <c r="J54" s="298"/>
      <c r="K54" s="192"/>
      <c r="L54" s="192"/>
      <c r="M54" s="192"/>
      <c r="N54" s="192"/>
      <c r="O54" s="192"/>
      <c r="P54" s="192"/>
      <c r="Q54" s="192"/>
      <c r="R54" s="192"/>
      <c r="S54" s="192"/>
      <c r="T54" s="192"/>
      <c r="U54" s="192"/>
      <c r="V54" s="192"/>
      <c r="W54" s="192"/>
      <c r="X54" s="192"/>
      <c r="Y54" s="192"/>
    </row>
    <row r="55" spans="1:25" x14ac:dyDescent="0.2">
      <c r="A55" s="192"/>
      <c r="B55" s="299"/>
      <c r="C55" s="281" t="s">
        <v>171</v>
      </c>
      <c r="D55" s="282"/>
      <c r="E55" s="282"/>
      <c r="F55" s="282"/>
      <c r="G55" s="298"/>
      <c r="H55" s="298"/>
      <c r="I55" s="298"/>
      <c r="J55" s="298"/>
      <c r="K55" s="192"/>
      <c r="L55" s="192"/>
      <c r="M55" s="192"/>
      <c r="N55" s="192"/>
      <c r="O55" s="192"/>
      <c r="P55" s="192"/>
      <c r="Q55" s="192"/>
      <c r="R55" s="192"/>
      <c r="S55" s="192"/>
      <c r="T55" s="192"/>
      <c r="U55" s="192"/>
      <c r="V55" s="192"/>
      <c r="W55" s="192"/>
      <c r="X55" s="192"/>
      <c r="Y55" s="192"/>
    </row>
    <row r="56" spans="1:25" x14ac:dyDescent="0.2">
      <c r="A56" s="192"/>
      <c r="B56" s="277"/>
      <c r="C56" s="298"/>
      <c r="D56" s="298"/>
      <c r="E56" s="298"/>
      <c r="F56" s="298"/>
      <c r="G56" s="298"/>
      <c r="H56" s="298"/>
      <c r="I56" s="298"/>
      <c r="J56" s="298"/>
      <c r="K56" s="192"/>
      <c r="L56" s="192"/>
      <c r="M56" s="192"/>
      <c r="N56" s="192"/>
      <c r="O56" s="192"/>
      <c r="P56" s="192"/>
      <c r="Q56" s="192"/>
      <c r="R56" s="192"/>
      <c r="S56" s="192"/>
      <c r="T56" s="192"/>
      <c r="U56" s="192"/>
      <c r="V56" s="192"/>
      <c r="W56" s="192"/>
      <c r="X56" s="192"/>
      <c r="Y56" s="192"/>
    </row>
    <row r="57" spans="1:25" x14ac:dyDescent="0.2">
      <c r="A57" s="192"/>
      <c r="B57" s="283"/>
      <c r="C57" s="281"/>
      <c r="D57" s="281"/>
      <c r="E57" s="286"/>
      <c r="F57" s="286">
        <f>'Input data'!$C$5-1</f>
        <v>2023</v>
      </c>
      <c r="G57" s="286">
        <f>F57+1</f>
        <v>2024</v>
      </c>
      <c r="H57" s="286">
        <f t="shared" ref="H57:X57" si="2">G57+1</f>
        <v>2025</v>
      </c>
      <c r="I57" s="286">
        <f t="shared" si="2"/>
        <v>2026</v>
      </c>
      <c r="J57" s="286">
        <f t="shared" si="2"/>
        <v>2027</v>
      </c>
      <c r="K57" s="286">
        <f t="shared" si="2"/>
        <v>2028</v>
      </c>
      <c r="L57" s="286">
        <f t="shared" si="2"/>
        <v>2029</v>
      </c>
      <c r="M57" s="286">
        <f t="shared" si="2"/>
        <v>2030</v>
      </c>
      <c r="N57" s="286">
        <f t="shared" si="2"/>
        <v>2031</v>
      </c>
      <c r="O57" s="286">
        <f t="shared" si="2"/>
        <v>2032</v>
      </c>
      <c r="P57" s="286">
        <f t="shared" si="2"/>
        <v>2033</v>
      </c>
      <c r="Q57" s="286">
        <f t="shared" si="2"/>
        <v>2034</v>
      </c>
      <c r="R57" s="286">
        <f t="shared" si="2"/>
        <v>2035</v>
      </c>
      <c r="S57" s="286">
        <f t="shared" si="2"/>
        <v>2036</v>
      </c>
      <c r="T57" s="286">
        <f t="shared" si="2"/>
        <v>2037</v>
      </c>
      <c r="U57" s="286">
        <f t="shared" si="2"/>
        <v>2038</v>
      </c>
      <c r="V57" s="286">
        <f t="shared" si="2"/>
        <v>2039</v>
      </c>
      <c r="W57" s="286">
        <f t="shared" si="2"/>
        <v>2040</v>
      </c>
      <c r="X57" s="286">
        <f t="shared" si="2"/>
        <v>2041</v>
      </c>
      <c r="Y57" s="192"/>
    </row>
    <row r="58" spans="1:25" x14ac:dyDescent="0.2">
      <c r="A58" s="192"/>
      <c r="B58" s="283">
        <v>1</v>
      </c>
      <c r="C58" s="287" t="s">
        <v>152</v>
      </c>
      <c r="D58" s="288">
        <v>90</v>
      </c>
      <c r="E58" s="289" t="s">
        <v>153</v>
      </c>
      <c r="F58" s="276">
        <f ca="1">INDEX(OFFSET('Adjustment scenario'!$D$1:$W$1,$D58-1,0),MATCH(F$4,'Adjustment scenario'!$D$10:$W$10,0))</f>
        <v>46.482690336671389</v>
      </c>
      <c r="G58" s="276">
        <f ca="1">INDEX(OFFSET('Adjustment scenario'!$D$1:$W$1,$D58-1,0),MATCH(G$4,'Adjustment scenario'!$D$10:$W$10,0))</f>
        <v>47.061224448752846</v>
      </c>
      <c r="H58" s="276">
        <f ca="1">INDEX(OFFSET('Adjustment scenario'!$D$1:$W$1,$D58-1,0),MATCH(H$4,'Adjustment scenario'!$D$10:$W$10,0))</f>
        <v>48.402599148872696</v>
      </c>
      <c r="I58" s="276">
        <f ca="1">INDEX(OFFSET('Adjustment scenario'!$D$1:$W$1,$D58-1,0),MATCH(I$4,'Adjustment scenario'!$D$10:$W$10,0))</f>
        <v>48.438526378096554</v>
      </c>
      <c r="J58" s="276">
        <f ca="1">INDEX(OFFSET('Adjustment scenario'!$D$1:$W$1,$D58-1,0),MATCH(J$4,'Adjustment scenario'!$D$10:$W$10,0))</f>
        <v>48.244783647846042</v>
      </c>
      <c r="K58" s="276">
        <f ca="1">INDEX(OFFSET('Adjustment scenario'!$D$1:$W$1,$D58-1,0),MATCH(K$4,'Adjustment scenario'!$D$10:$W$10,0))</f>
        <v>48.080120326750361</v>
      </c>
      <c r="L58" s="276">
        <f ca="1">INDEX(OFFSET('Adjustment scenario'!$D$1:$W$1,$D58-1,0),MATCH(L$4,'Adjustment scenario'!$D$10:$W$10,0))</f>
        <v>48.250854371176644</v>
      </c>
      <c r="M58" s="276">
        <f ca="1">INDEX(OFFSET('Adjustment scenario'!$D$1:$W$1,$D58-1,0),MATCH(M$4,'Adjustment scenario'!$D$10:$W$10,0))</f>
        <v>48.646228475439599</v>
      </c>
      <c r="N58" s="276">
        <f ca="1">INDEX(OFFSET('Adjustment scenario'!$D$1:$W$1,$D58-1,0),MATCH(N$4,'Adjustment scenario'!$D$10:$W$10,0))</f>
        <v>49.287799730189867</v>
      </c>
      <c r="O58" s="276">
        <f ca="1">INDEX(OFFSET('Adjustment scenario'!$D$1:$W$1,$D58-1,0),MATCH(O$4,'Adjustment scenario'!$D$10:$W$10,0))</f>
        <v>50.162177262191697</v>
      </c>
      <c r="P58" s="276">
        <f ca="1">INDEX(OFFSET('Adjustment scenario'!$D$1:$W$1,$D58-1,0),MATCH(P$4,'Adjustment scenario'!$D$10:$W$10,0))</f>
        <v>51.20854688970411</v>
      </c>
      <c r="Q58" s="276">
        <f ca="1">INDEX(OFFSET('Adjustment scenario'!$D$1:$W$1,$D58-1,0),MATCH(Q$4,'Adjustment scenario'!$D$10:$W$10,0))</f>
        <v>52.441071550742734</v>
      </c>
      <c r="R58" s="276">
        <f ca="1">INDEX(OFFSET('Adjustment scenario'!$D$1:$W$1,$D58-1,0),MATCH(R$4,'Adjustment scenario'!$D$10:$W$10,0))</f>
        <v>53.833503749210344</v>
      </c>
      <c r="S58" s="276">
        <f ca="1">INDEX(OFFSET('Adjustment scenario'!$D$1:$W$1,$D58-1,0),MATCH(S$4,'Adjustment scenario'!$D$10:$W$10,0))</f>
        <v>55.411476568297743</v>
      </c>
      <c r="T58" s="276">
        <f ca="1">INDEX(OFFSET('Adjustment scenario'!$D$1:$W$1,$D58-1,0),MATCH(T$4,'Adjustment scenario'!$D$10:$W$10,0))</f>
        <v>57.13980846897357</v>
      </c>
      <c r="U58" s="276">
        <f ca="1">INDEX(OFFSET('Adjustment scenario'!$D$1:$W$1,$D58-1,0),MATCH(U$4,'Adjustment scenario'!$D$10:$W$10,0))</f>
        <v>58.987644442506138</v>
      </c>
      <c r="V58" s="276">
        <f ca="1">INDEX(OFFSET('Adjustment scenario'!$D$1:$W$1,$D58-1,0),MATCH(V$4,'Adjustment scenario'!$D$10:$W$10,0))</f>
        <v>60.924863663676092</v>
      </c>
      <c r="W58" s="276">
        <f ca="1">INDEX(OFFSET('Adjustment scenario'!$D$1:$W$1,$D58-1,0),MATCH(W$4,'Adjustment scenario'!$D$10:$W$10,0))</f>
        <v>62.934597626211755</v>
      </c>
      <c r="X58" s="276">
        <f ca="1">INDEX(OFFSET('Adjustment scenario'!$D$1:$W$1,$D58-1,0),MATCH(X$4,'Adjustment scenario'!$D$10:$W$10,0))</f>
        <v>65.046566157525319</v>
      </c>
      <c r="Y58" s="192"/>
    </row>
    <row r="59" spans="1:25" x14ac:dyDescent="0.2">
      <c r="A59" s="192"/>
      <c r="B59" s="283">
        <f>B58+1</f>
        <v>2</v>
      </c>
      <c r="C59" s="290" t="s">
        <v>100</v>
      </c>
      <c r="D59" s="288">
        <v>92</v>
      </c>
      <c r="E59" s="289" t="s">
        <v>153</v>
      </c>
      <c r="F59" s="276">
        <f ca="1">INDEX(OFFSET('Adjustment scenario'!$D$1:$W$1,$D59-1,0),MATCH(F$4,'Adjustment scenario'!$D$10:$W$10,0))</f>
        <v>3.8213719927815011</v>
      </c>
      <c r="G59" s="276">
        <f ca="1">INDEX(OFFSET('Adjustment scenario'!$D$1:$W$1,$D59-1,0),MATCH(G$4,'Adjustment scenario'!$D$10:$W$10,0))</f>
        <v>3.6353337164228705</v>
      </c>
      <c r="H59" s="276">
        <f ca="1">INDEX(OFFSET('Adjustment scenario'!$D$1:$W$1,$D59-1,0),MATCH(H$4,'Adjustment scenario'!$D$10:$W$10,0))</f>
        <v>3.738455376011955</v>
      </c>
      <c r="I59" s="276">
        <f ca="1">INDEX(OFFSET('Adjustment scenario'!$D$1:$W$1,$D59-1,0),MATCH(I$4,'Adjustment scenario'!$D$10:$W$10,0))</f>
        <v>3.8596222998565448</v>
      </c>
      <c r="J59" s="276">
        <f ca="1">INDEX(OFFSET('Adjustment scenario'!$D$1:$W$1,$D59-1,0),MATCH(J$4,'Adjustment scenario'!$D$10:$W$10,0))</f>
        <v>3.8981216939201846</v>
      </c>
      <c r="K59" s="276">
        <f ca="1">INDEX(OFFSET('Adjustment scenario'!$D$1:$W$1,$D59-1,0),MATCH(K$4,'Adjustment scenario'!$D$10:$W$10,0))</f>
        <v>3.9258206074643032</v>
      </c>
      <c r="L59" s="276">
        <f ca="1">INDEX(OFFSET('Adjustment scenario'!$D$1:$W$1,$D59-1,0),MATCH(L$4,'Adjustment scenario'!$D$10:$W$10,0))</f>
        <v>3.9537133668166997</v>
      </c>
      <c r="M59" s="276">
        <f ca="1">INDEX(OFFSET('Adjustment scenario'!$D$1:$W$1,$D59-1,0),MATCH(M$4,'Adjustment scenario'!$D$10:$W$10,0))</f>
        <v>3.9989552873138976</v>
      </c>
      <c r="N59" s="276">
        <f ca="1">INDEX(OFFSET('Adjustment scenario'!$D$1:$W$1,$D59-1,0),MATCH(N$4,'Adjustment scenario'!$D$10:$W$10,0))</f>
        <v>4.0633492631267831</v>
      </c>
      <c r="O59" s="276">
        <f ca="1">INDEX(OFFSET('Adjustment scenario'!$D$1:$W$1,$D59-1,0),MATCH(O$4,'Adjustment scenario'!$D$10:$W$10,0))</f>
        <v>4.1484309431658923</v>
      </c>
      <c r="P59" s="276">
        <f ca="1">INDEX(OFFSET('Adjustment scenario'!$D$1:$W$1,$D59-1,0),MATCH(P$4,'Adjustment scenario'!$D$10:$W$10,0))</f>
        <v>4.2525674528150574</v>
      </c>
      <c r="Q59" s="276">
        <f ca="1">INDEX(OFFSET('Adjustment scenario'!$D$1:$W$1,$D59-1,0),MATCH(Q$4,'Adjustment scenario'!$D$10:$W$10,0))</f>
        <v>4.3407560414442026</v>
      </c>
      <c r="R59" s="276">
        <f ca="1">INDEX(OFFSET('Adjustment scenario'!$D$1:$W$1,$D59-1,0),MATCH(R$4,'Adjustment scenario'!$D$10:$W$10,0))</f>
        <v>4.4447030813642927</v>
      </c>
      <c r="S59" s="276">
        <f ca="1">INDEX(OFFSET('Adjustment scenario'!$D$1:$W$1,$D59-1,0),MATCH(S$4,'Adjustment scenario'!$D$10:$W$10,0))</f>
        <v>4.5621876383708564</v>
      </c>
      <c r="T59" s="276">
        <f ca="1">INDEX(OFFSET('Adjustment scenario'!$D$1:$W$1,$D59-1,0),MATCH(T$4,'Adjustment scenario'!$D$10:$W$10,0))</f>
        <v>4.6915608977624634</v>
      </c>
      <c r="U59" s="276">
        <f ca="1">INDEX(OFFSET('Adjustment scenario'!$D$1:$W$1,$D59-1,0),MATCH(U$4,'Adjustment scenario'!$D$10:$W$10,0))</f>
        <v>4.8336107354872651</v>
      </c>
      <c r="V59" s="276">
        <f ca="1">INDEX(OFFSET('Adjustment scenario'!$D$1:$W$1,$D59-1,0),MATCH(V$4,'Adjustment scenario'!$D$10:$W$10,0))</f>
        <v>4.9827830039112815</v>
      </c>
      <c r="W59" s="276">
        <f ca="1">INDEX(OFFSET('Adjustment scenario'!$D$1:$W$1,$D59-1,0),MATCH(W$4,'Adjustment scenario'!$D$10:$W$10,0))</f>
        <v>5.1389479596364405</v>
      </c>
      <c r="X59" s="276">
        <f ca="1">INDEX(OFFSET('Adjustment scenario'!$D$1:$W$1,$D59-1,0),MATCH(X$4,'Adjustment scenario'!$D$10:$W$10,0))</f>
        <v>5.3066759539822046</v>
      </c>
      <c r="Y59" s="192"/>
    </row>
    <row r="60" spans="1:25" x14ac:dyDescent="0.2">
      <c r="A60" s="192"/>
      <c r="B60" s="283">
        <f t="shared" ref="B60:B62" si="3">B59+1</f>
        <v>3</v>
      </c>
      <c r="C60" s="290" t="s">
        <v>101</v>
      </c>
      <c r="D60" s="288">
        <v>93</v>
      </c>
      <c r="E60" s="289" t="s">
        <v>153</v>
      </c>
      <c r="F60" s="276">
        <f ca="1">INDEX(OFFSET('Adjustment scenario'!$D$1:$W$1,$D60-1,0),MATCH(F$4,'Adjustment scenario'!$D$10:$W$10,0))</f>
        <v>3.6853038352380172</v>
      </c>
      <c r="G60" s="276">
        <f ca="1">INDEX(OFFSET('Adjustment scenario'!$D$1:$W$1,$D60-1,0),MATCH(G$4,'Adjustment scenario'!$D$10:$W$10,0))</f>
        <v>3.527028798127084</v>
      </c>
      <c r="H60" s="276">
        <f ca="1">INDEX(OFFSET('Adjustment scenario'!$D$1:$W$1,$D60-1,0),MATCH(H$4,'Adjustment scenario'!$D$10:$W$10,0))</f>
        <v>3.6049999424641177</v>
      </c>
      <c r="I60" s="276">
        <f ca="1">INDEX(OFFSET('Adjustment scenario'!$D$1:$W$1,$D60-1,0),MATCH(I$4,'Adjustment scenario'!$D$10:$W$10,0))</f>
        <v>3.700073980193415</v>
      </c>
      <c r="J60" s="276">
        <f ca="1">INDEX(OFFSET('Adjustment scenario'!$D$1:$W$1,$D60-1,0),MATCH(J$4,'Adjustment scenario'!$D$10:$W$10,0))</f>
        <v>3.7119047418953848</v>
      </c>
      <c r="K60" s="276">
        <f ca="1">INDEX(OFFSET('Adjustment scenario'!$D$1:$W$1,$D60-1,0),MATCH(K$4,'Adjustment scenario'!$D$10:$W$10,0))</f>
        <v>3.712499196521466</v>
      </c>
      <c r="L60" s="276">
        <f ca="1">INDEX(OFFSET('Adjustment scenario'!$D$1:$W$1,$D60-1,0),MATCH(L$4,'Adjustment scenario'!$D$10:$W$10,0))</f>
        <v>3.7128803314717915</v>
      </c>
      <c r="M60" s="276">
        <f ca="1">INDEX(OFFSET('Adjustment scenario'!$D$1:$W$1,$D60-1,0),MATCH(M$4,'Adjustment scenario'!$D$10:$W$10,0))</f>
        <v>3.7298684168919904</v>
      </c>
      <c r="N60" s="276">
        <f ca="1">INDEX(OFFSET('Adjustment scenario'!$D$1:$W$1,$D60-1,0),MATCH(N$4,'Adjustment scenario'!$D$10:$W$10,0))</f>
        <v>3.7647844825162635</v>
      </c>
      <c r="O60" s="276">
        <f ca="1">INDEX(OFFSET('Adjustment scenario'!$D$1:$W$1,$D60-1,0),MATCH(O$4,'Adjustment scenario'!$D$10:$W$10,0))</f>
        <v>3.8186746269043437</v>
      </c>
      <c r="P60" s="276">
        <f ca="1">INDEX(OFFSET('Adjustment scenario'!$D$1:$W$1,$D60-1,0),MATCH(P$4,'Adjustment scenario'!$D$10:$W$10,0))</f>
        <v>3.8895989019473372</v>
      </c>
      <c r="Q60" s="276">
        <f ca="1">INDEX(OFFSET('Adjustment scenario'!$D$1:$W$1,$D60-1,0),MATCH(Q$4,'Adjustment scenario'!$D$10:$W$10,0))</f>
        <v>3.9759553625551569</v>
      </c>
      <c r="R60" s="276">
        <f ca="1">INDEX(OFFSET('Adjustment scenario'!$D$1:$W$1,$D60-1,0),MATCH(R$4,'Adjustment scenario'!$D$10:$W$10,0))</f>
        <v>4.0769861051224243</v>
      </c>
      <c r="S60" s="276">
        <f ca="1">INDEX(OFFSET('Adjustment scenario'!$D$1:$W$1,$D60-1,0),MATCH(S$4,'Adjustment scenario'!$D$10:$W$10,0))</f>
        <v>4.1906099711276905</v>
      </c>
      <c r="T60" s="276">
        <f ca="1">INDEX(OFFSET('Adjustment scenario'!$D$1:$W$1,$D60-1,0),MATCH(T$4,'Adjustment scenario'!$D$10:$W$10,0))</f>
        <v>4.3153558234734239</v>
      </c>
      <c r="U60" s="276">
        <f ca="1">INDEX(OFFSET('Adjustment scenario'!$D$1:$W$1,$D60-1,0),MATCH(U$4,'Adjustment scenario'!$D$10:$W$10,0))</f>
        <v>4.4519562301683528</v>
      </c>
      <c r="V60" s="276">
        <f ca="1">INDEX(OFFSET('Adjustment scenario'!$D$1:$W$1,$D60-1,0),MATCH(V$4,'Adjustment scenario'!$D$10:$W$10,0))</f>
        <v>4.5952388538418427</v>
      </c>
      <c r="W60" s="276">
        <f ca="1">INDEX(OFFSET('Adjustment scenario'!$D$1:$W$1,$D60-1,0),MATCH(W$4,'Adjustment scenario'!$D$10:$W$10,0))</f>
        <v>4.7450757436408733</v>
      </c>
      <c r="X60" s="276">
        <f ca="1">INDEX(OFFSET('Adjustment scenario'!$D$1:$W$1,$D60-1,0),MATCH(X$4,'Adjustment scenario'!$D$10:$W$10,0))</f>
        <v>4.90566461143219</v>
      </c>
      <c r="Y60" s="192"/>
    </row>
    <row r="61" spans="1:25" x14ac:dyDescent="0.2">
      <c r="A61" s="192"/>
      <c r="B61" s="283">
        <f t="shared" si="3"/>
        <v>4</v>
      </c>
      <c r="C61" s="290" t="s">
        <v>102</v>
      </c>
      <c r="D61" s="288">
        <v>94</v>
      </c>
      <c r="E61" s="289" t="s">
        <v>153</v>
      </c>
      <c r="F61" s="276">
        <f ca="1">INDEX(OFFSET('Adjustment scenario'!$D$1:$W$1,$D61-1,0),MATCH(F$4,'Adjustment scenario'!$D$10:$W$10,0))</f>
        <v>1.0917151169866962E-2</v>
      </c>
      <c r="G61" s="276">
        <f ca="1">INDEX(OFFSET('Adjustment scenario'!$D$1:$W$1,$D61-1,0),MATCH(G$4,'Adjustment scenario'!$D$10:$W$10,0))</f>
        <v>2.3738857259036092</v>
      </c>
      <c r="H61" s="276">
        <f ca="1">INDEX(OFFSET('Adjustment scenario'!$D$1:$W$1,$D61-1,0),MATCH(H$4,'Adjustment scenario'!$D$10:$W$10,0))</f>
        <v>2.7878853170403475</v>
      </c>
      <c r="I61" s="276">
        <f ca="1">INDEX(OFFSET('Adjustment scenario'!$D$1:$W$1,$D61-1,0),MATCH(I$4,'Adjustment scenario'!$D$10:$W$10,0))</f>
        <v>1.8169222574428563</v>
      </c>
      <c r="J61" s="276">
        <f ca="1">INDEX(OFFSET('Adjustment scenario'!$D$1:$W$1,$D61-1,0),MATCH(J$4,'Adjustment scenario'!$D$10:$W$10,0))</f>
        <v>1.5601708635590792</v>
      </c>
      <c r="K61" s="276">
        <f ca="1">INDEX(OFFSET('Adjustment scenario'!$D$1:$W$1,$D61-1,0),MATCH(K$4,'Adjustment scenario'!$D$10:$W$10,0))</f>
        <v>1.4495536571936833</v>
      </c>
      <c r="L61" s="276">
        <f ca="1">INDEX(OFFSET('Adjustment scenario'!$D$1:$W$1,$D61-1,0),MATCH(L$4,'Adjustment scenario'!$D$10:$W$10,0))</f>
        <v>1.6443574757662887</v>
      </c>
      <c r="M61" s="276">
        <f ca="1">INDEX(OFFSET('Adjustment scenario'!$D$1:$W$1,$D61-1,0),MATCH(M$4,'Adjustment scenario'!$D$10:$W$10,0))</f>
        <v>1.8586963014843643</v>
      </c>
      <c r="N61" s="276">
        <f ca="1">INDEX(OFFSET('Adjustment scenario'!$D$1:$W$1,$D61-1,0),MATCH(N$4,'Adjustment scenario'!$D$10:$W$10,0))</f>
        <v>2.0975975247601473</v>
      </c>
      <c r="O61" s="276">
        <f ca="1">INDEX(OFFSET('Adjustment scenario'!$D$1:$W$1,$D61-1,0),MATCH(O$4,'Adjustment scenario'!$D$10:$W$10,0))</f>
        <v>2.3372816997851742</v>
      </c>
      <c r="P61" s="276">
        <f ca="1">INDEX(OFFSET('Adjustment scenario'!$D$1:$W$1,$D61-1,0),MATCH(P$4,'Adjustment scenario'!$D$10:$W$10,0))</f>
        <v>2.5439760666741593</v>
      </c>
      <c r="Q61" s="276">
        <f ca="1">INDEX(OFFSET('Adjustment scenario'!$D$1:$W$1,$D61-1,0),MATCH(Q$4,'Adjustment scenario'!$D$10:$W$10,0))</f>
        <v>2.7480500081700123</v>
      </c>
      <c r="R61" s="276">
        <f ca="1">INDEX(OFFSET('Adjustment scenario'!$D$1:$W$1,$D61-1,0),MATCH(R$4,'Adjustment scenario'!$D$10:$W$10,0))</f>
        <v>2.9339147426601211</v>
      </c>
      <c r="S61" s="276">
        <f ca="1">INDEX(OFFSET('Adjustment scenario'!$D$1:$W$1,$D61-1,0),MATCH(S$4,'Adjustment scenario'!$D$10:$W$10,0))</f>
        <v>3.1483559390145279</v>
      </c>
      <c r="T61" s="276">
        <f ca="1">INDEX(OFFSET('Adjustment scenario'!$D$1:$W$1,$D61-1,0),MATCH(T$4,'Adjustment scenario'!$D$10:$W$10,0))</f>
        <v>3.3762872676188316</v>
      </c>
      <c r="U61" s="276">
        <f ca="1">INDEX(OFFSET('Adjustment scenario'!$D$1:$W$1,$D61-1,0),MATCH(U$4,'Adjustment scenario'!$D$10:$W$10,0))</f>
        <v>3.5811452074332504</v>
      </c>
      <c r="V61" s="276">
        <f ca="1">INDEX(OFFSET('Adjustment scenario'!$D$1:$W$1,$D61-1,0),MATCH(V$4,'Adjustment scenario'!$D$10:$W$10,0))</f>
        <v>3.7934289371170449</v>
      </c>
      <c r="W61" s="276">
        <f ca="1">INDEX(OFFSET('Adjustment scenario'!$D$1:$W$1,$D61-1,0),MATCH(W$4,'Adjustment scenario'!$D$10:$W$10,0))</f>
        <v>3.9990222784131819</v>
      </c>
      <c r="X61" s="276">
        <f ca="1">INDEX(OFFSET('Adjustment scenario'!$D$1:$W$1,$D61-1,0),MATCH(X$4,'Adjustment scenario'!$D$10:$W$10,0))</f>
        <v>4.1774103278850525</v>
      </c>
      <c r="Y61" s="192"/>
    </row>
    <row r="62" spans="1:25" x14ac:dyDescent="0.2">
      <c r="A62" s="192"/>
      <c r="B62" s="283">
        <f t="shared" si="3"/>
        <v>5</v>
      </c>
      <c r="C62" s="290" t="s">
        <v>103</v>
      </c>
      <c r="D62" s="288">
        <v>95</v>
      </c>
      <c r="E62" s="289" t="s">
        <v>153</v>
      </c>
      <c r="F62" s="276">
        <f ca="1">INDEX(OFFSET('Adjustment scenario'!$D$1:$W$1,$D62-1,0),MATCH(F$4,'Adjustment scenario'!$D$10:$W$10,0))</f>
        <v>9.7853692341582331E-4</v>
      </c>
      <c r="G62" s="276">
        <f ca="1">INDEX(OFFSET('Adjustment scenario'!$D$1:$W$1,$D62-1,0),MATCH(G$4,'Adjustment scenario'!$D$10:$W$10,0))</f>
        <v>0.21277848026673093</v>
      </c>
      <c r="H62" s="276">
        <f ca="1">INDEX(OFFSET('Adjustment scenario'!$D$1:$W$1,$D62-1,0),MATCH(H$4,'Adjustment scenario'!$D$10:$W$10,0))</f>
        <v>0.24988650230498299</v>
      </c>
      <c r="I62" s="276">
        <f ca="1">INDEX(OFFSET('Adjustment scenario'!$D$1:$W$1,$D62-1,0),MATCH(I$4,'Adjustment scenario'!$D$10:$W$10,0))</f>
        <v>0.16285617815673528</v>
      </c>
      <c r="J62" s="276">
        <f ca="1">INDEX(OFFSET('Adjustment scenario'!$D$1:$W$1,$D62-1,0),MATCH(J$4,'Adjustment scenario'!$D$10:$W$10,0))</f>
        <v>0.13984278252407067</v>
      </c>
      <c r="K62" s="276">
        <f ca="1">INDEX(OFFSET('Adjustment scenario'!$D$1:$W$1,$D62-1,0),MATCH(K$4,'Adjustment scenario'!$D$10:$W$10,0))</f>
        <v>0.12992783135142272</v>
      </c>
      <c r="L62" s="276">
        <f ca="1">INDEX(OFFSET('Adjustment scenario'!$D$1:$W$1,$D62-1,0),MATCH(L$4,'Adjustment scenario'!$D$10:$W$10,0))</f>
        <v>0.14738868046211742</v>
      </c>
      <c r="M62" s="276">
        <f ca="1">INDEX(OFFSET('Adjustment scenario'!$D$1:$W$1,$D62-1,0),MATCH(M$4,'Adjustment scenario'!$D$10:$W$10,0))</f>
        <v>0.16660051071190243</v>
      </c>
      <c r="N62" s="276">
        <f ca="1">INDEX(OFFSET('Adjustment scenario'!$D$1:$W$1,$D62-1,0),MATCH(N$4,'Adjustment scenario'!$D$10:$W$10,0))</f>
        <v>0.18801394214535305</v>
      </c>
      <c r="O62" s="276">
        <f ca="1">INDEX(OFFSET('Adjustment scenario'!$D$1:$W$1,$D62-1,0),MATCH(O$4,'Adjustment scenario'!$D$10:$W$10,0))</f>
        <v>0.20949755188667607</v>
      </c>
      <c r="P62" s="276">
        <f ca="1">INDEX(OFFSET('Adjustment scenario'!$D$1:$W$1,$D62-1,0),MATCH(P$4,'Adjustment scenario'!$D$10:$W$10,0))</f>
        <v>0.22802418641942784</v>
      </c>
      <c r="Q62" s="276">
        <f ca="1">INDEX(OFFSET('Adjustment scenario'!$D$1:$W$1,$D62-1,0),MATCH(Q$4,'Adjustment scenario'!$D$10:$W$10,0))</f>
        <v>0.24631594438389379</v>
      </c>
      <c r="R62" s="276">
        <f ca="1">INDEX(OFFSET('Adjustment scenario'!$D$1:$W$1,$D62-1,0),MATCH(R$4,'Adjustment scenario'!$D$10:$W$10,0))</f>
        <v>0.26297555664258032</v>
      </c>
      <c r="S62" s="276">
        <f ca="1">INDEX(OFFSET('Adjustment scenario'!$D$1:$W$1,$D62-1,0),MATCH(S$4,'Adjustment scenario'!$D$10:$W$10,0))</f>
        <v>0.28219656267879217</v>
      </c>
      <c r="T62" s="276">
        <f ca="1">INDEX(OFFSET('Adjustment scenario'!$D$1:$W$1,$D62-1,0),MATCH(T$4,'Adjustment scenario'!$D$10:$W$10,0))</f>
        <v>0.30262672963096915</v>
      </c>
      <c r="U62" s="276">
        <f ca="1">INDEX(OFFSET('Adjustment scenario'!$D$1:$W$1,$D62-1,0),MATCH(U$4,'Adjustment scenario'!$D$10:$W$10,0))</f>
        <v>0.3209887597104471</v>
      </c>
      <c r="V62" s="276">
        <f ca="1">INDEX(OFFSET('Adjustment scenario'!$D$1:$W$1,$D62-1,0),MATCH(V$4,'Adjustment scenario'!$D$10:$W$10,0))</f>
        <v>0.34001638555384261</v>
      </c>
      <c r="W62" s="276">
        <f ca="1">INDEX(OFFSET('Adjustment scenario'!$D$1:$W$1,$D62-1,0),MATCH(W$4,'Adjustment scenario'!$D$10:$W$10,0))</f>
        <v>0.35844433186844454</v>
      </c>
      <c r="X62" s="276">
        <f ca="1">INDEX(OFFSET('Adjustment scenario'!$D$1:$W$1,$D62-1,0),MATCH(X$4,'Adjustment scenario'!$D$10:$W$10,0))</f>
        <v>0.37443378647874292</v>
      </c>
      <c r="Y62" s="192"/>
    </row>
    <row r="63" spans="1:25" x14ac:dyDescent="0.2">
      <c r="A63" s="192"/>
      <c r="B63" s="192"/>
      <c r="C63" s="192"/>
      <c r="D63" s="192"/>
      <c r="E63" s="192"/>
      <c r="F63" s="192"/>
      <c r="G63" s="192"/>
      <c r="H63" s="192"/>
      <c r="I63" s="192"/>
      <c r="J63" s="192"/>
      <c r="K63" s="192"/>
      <c r="L63" s="192"/>
      <c r="M63" s="192"/>
      <c r="N63" s="192"/>
      <c r="O63" s="192"/>
      <c r="P63" s="192"/>
      <c r="Q63" s="192"/>
      <c r="R63" s="192"/>
      <c r="S63" s="192"/>
      <c r="T63" s="192"/>
      <c r="U63" s="192"/>
      <c r="V63" s="192"/>
      <c r="W63" s="192"/>
      <c r="X63" s="192"/>
      <c r="Y63" s="192"/>
    </row>
  </sheetData>
  <conditionalFormatting sqref="V4:X63">
    <cfRule type="expression" dxfId="1" priority="1">
      <formula>#REF!=4</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2" id="{1794A10D-CEDE-4DE7-974F-7E50033A335B}">
            <xm:f>'Criteria results'!$F$5=4</xm:f>
            <x14:dxf>
              <font>
                <color theme="0"/>
              </font>
              <fill>
                <patternFill>
                  <bgColor theme="0"/>
                </patternFill>
              </fill>
            </x14:dxf>
          </x14:cfRule>
          <xm:sqref>V4:X63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D7CDCA61137D46922835CA98C0641D" ma:contentTypeVersion="8" ma:contentTypeDescription="Create a new document." ma:contentTypeScope="" ma:versionID="6659297bf1036fa7eae64cf0e7c2fac9">
  <xsd:schema xmlns:xsd="http://www.w3.org/2001/XMLSchema" xmlns:xs="http://www.w3.org/2001/XMLSchema" xmlns:p="http://schemas.microsoft.com/office/2006/metadata/properties" xmlns:ns2="b29b9b01-a41b-4cdd-ba34-21bb9c415350" xmlns:ns3="150bf796-665d-42d8-bec5-8541ade97521" targetNamespace="http://schemas.microsoft.com/office/2006/metadata/properties" ma:root="true" ma:fieldsID="9a4b96746bcdbed031cdc5f86c6e749b" ns2:_="" ns3:_="">
    <xsd:import namespace="b29b9b01-a41b-4cdd-ba34-21bb9c415350"/>
    <xsd:import namespace="150bf796-665d-42d8-bec5-8541ade975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b9b01-a41b-4cdd-ba34-21bb9c4153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0bf796-665d-42d8-bec5-8541ade975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69BE971-F562-4B09-A9E1-668BAAF544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9b9b01-a41b-4cdd-ba34-21bb9c415350"/>
    <ds:schemaRef ds:uri="150bf796-665d-42d8-bec5-8541ade975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5379F7-D4E7-4A0C-87B7-761C7833B493}">
  <ds:schemaRefs>
    <ds:schemaRef ds:uri="http://schemas.microsoft.com/sharepoint/v3/contenttype/forms"/>
  </ds:schemaRefs>
</ds:datastoreItem>
</file>

<file path=customXml/itemProps3.xml><?xml version="1.0" encoding="utf-8"?>
<ds:datastoreItem xmlns:ds="http://schemas.openxmlformats.org/officeDocument/2006/customXml" ds:itemID="{DDE1AD19-26CE-486A-AEF9-44A7210D2685}">
  <ds:schemaRefs>
    <ds:schemaRef ds:uri="http://schemas.microsoft.com/office/2006/metadata/properties"/>
    <ds:schemaRef ds:uri="b29b9b01-a41b-4cdd-ba34-21bb9c415350"/>
    <ds:schemaRef ds:uri="http://purl.org/dc/terms/"/>
    <ds:schemaRef ds:uri="http://purl.org/dc/elements/1.1/"/>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150bf796-665d-42d8-bec5-8541ade9752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Criteria results</vt:lpstr>
      <vt:lpstr>Input data</vt:lpstr>
      <vt:lpstr>Baseline NFPC</vt:lpstr>
      <vt:lpstr>Adjustment scenario</vt:lpstr>
      <vt:lpstr>Adjust. no safeguard</vt:lpstr>
      <vt:lpstr>FASTOP reporting</vt:lpstr>
    </vt:vector>
  </TitlesOfParts>
  <Manager/>
  <Company>European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SAIL Etienne (ECFIN)</dc:creator>
  <cp:keywords/>
  <dc:description/>
  <cp:lastModifiedBy>ERDEI Miklos (ECFIN)</cp:lastModifiedBy>
  <cp:revision/>
  <dcterms:created xsi:type="dcterms:W3CDTF">2013-04-12T08:50:12Z</dcterms:created>
  <dcterms:modified xsi:type="dcterms:W3CDTF">2024-06-20T11:21:26Z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2023-01-31T12:59:42Z</vt:lpwstr>
  </property>
  <property fmtid="{D5CDD505-2E9C-101B-9397-08002B2CF9AE}" pid="4" name="MSIP_Label_6bd9ddd1-4d20-43f6-abfa-fc3c07406f94_Method">
    <vt:lpwstr>Privileged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b0fa60c5-7b78-4404-9a0b-188770adde17</vt:lpwstr>
  </property>
  <property fmtid="{D5CDD505-2E9C-101B-9397-08002B2CF9AE}" pid="8" name="MSIP_Label_6bd9ddd1-4d20-43f6-abfa-fc3c07406f94_ContentBits">
    <vt:lpwstr>0</vt:lpwstr>
  </property>
  <property fmtid="{D5CDD505-2E9C-101B-9397-08002B2CF9AE}" pid="9" name="ContentTypeId">
    <vt:lpwstr>0x01010021D7CDCA61137D46922835CA98C0641D</vt:lpwstr>
  </property>
</Properties>
</file>