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BD0AD5ED-A7D5-46C1-80E4-1E621FC01291}" xr6:coauthVersionLast="47" xr6:coauthVersionMax="47" xr10:uidLastSave="{00000000-0000-0000-0000-000000000000}"/>
  <bookViews>
    <workbookView xWindow="28680" yWindow="-120" windowWidth="29040" windowHeight="1599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G70" i="40" s="1"/>
  <c r="F71" i="21"/>
  <c r="F67" i="21" s="1"/>
  <c r="F71" i="19"/>
  <c r="F67" i="19" s="1"/>
  <c r="F58" i="19" s="1"/>
  <c r="F57" i="19" s="1"/>
  <c r="G30" i="44" s="1"/>
  <c r="F70" i="18"/>
  <c r="F66" i="18" s="1"/>
  <c r="F57" i="18" s="1"/>
  <c r="F56" i="18" s="1"/>
  <c r="G69" i="18" s="1"/>
  <c r="F66" i="9"/>
  <c r="F57" i="9" s="1"/>
  <c r="F56" i="9" s="1"/>
  <c r="E80" i="17"/>
  <c r="E85" i="17" s="1"/>
  <c r="E88" i="40"/>
  <c r="E94" i="40" s="1"/>
  <c r="G70" i="19"/>
  <c r="E80" i="18"/>
  <c r="E85" i="18" s="1"/>
  <c r="E88" i="17"/>
  <c r="E87" i="18"/>
  <c r="E96" i="40"/>
  <c r="E105" i="21"/>
  <c r="G69" i="40"/>
  <c r="F11" i="22"/>
  <c r="G68" i="40"/>
  <c r="G23" i="44"/>
  <c r="G69" i="17"/>
  <c r="F83" i="17"/>
  <c r="E96" i="21"/>
  <c r="E103" i="21" s="1"/>
  <c r="E90" i="9"/>
  <c r="E88" i="9" s="1"/>
  <c r="E93" i="9" s="1"/>
  <c r="G41" i="44"/>
  <c r="E86" i="19"/>
  <c r="E85" i="19" s="1"/>
  <c r="E91" i="19" s="1"/>
  <c r="F109" i="21"/>
  <c r="E95" i="40" l="1"/>
  <c r="E93" i="40" s="1"/>
  <c r="E99" i="40" s="1"/>
  <c r="F92" i="40"/>
  <c r="E86" i="18"/>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J21" i="20"/>
  <c r="J88" i="21"/>
  <c r="J23" i="20"/>
  <c r="K70" i="21"/>
  <c r="J101" i="21"/>
  <c r="J106" i="21" s="1"/>
  <c r="K62" i="44" s="1"/>
  <c r="O11" i="22"/>
  <c r="P69" i="40"/>
  <c r="P70" i="40"/>
  <c r="K60" i="44"/>
  <c r="K59" i="44"/>
  <c r="K69" i="18"/>
  <c r="K27" i="44"/>
  <c r="O94" i="40"/>
  <c r="O93" i="40" s="1"/>
  <c r="O99" i="40" s="1"/>
  <c r="J86" i="18"/>
  <c r="J84" i="18" s="1"/>
  <c r="J90" i="18" s="1"/>
  <c r="K5" i="44" l="1"/>
  <c r="J85" i="2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95" i="21" s="1"/>
  <c r="K33" i="21"/>
  <c r="K68" i="21" s="1"/>
  <c r="K77" i="21" s="1"/>
  <c r="L16" i="44"/>
  <c r="L18" i="44"/>
  <c r="K66" i="18"/>
  <c r="K57" i="18" s="1"/>
  <c r="K56" i="18" s="1"/>
  <c r="K86" i="18"/>
  <c r="K84" i="18" s="1"/>
  <c r="K88" i="18"/>
  <c r="K87" i="18"/>
  <c r="Q78" i="40"/>
  <c r="Q77" i="40"/>
  <c r="Q67" i="40"/>
  <c r="Q58" i="40" s="1"/>
  <c r="Q57" i="40" s="1"/>
  <c r="Q83" i="40" s="1"/>
  <c r="Q87" i="40"/>
  <c r="Q88" i="40" s="1"/>
  <c r="K17" i="22"/>
  <c r="K15" i="22"/>
  <c r="K14" i="22"/>
  <c r="K18" i="22"/>
  <c r="K96" i="21" l="1"/>
  <c r="K105" i="21"/>
  <c r="K104" i="21"/>
  <c r="L61" i="44" s="1"/>
  <c r="K102" i="21"/>
  <c r="K103" i="21"/>
  <c r="K69" i="21"/>
  <c r="K67" i="21" s="1"/>
  <c r="K58" i="21" s="1"/>
  <c r="K57" i="21" s="1"/>
  <c r="K85" i="21" s="1"/>
  <c r="L87" i="21"/>
  <c r="K21" i="20"/>
  <c r="L69" i="18"/>
  <c r="L27" i="44"/>
  <c r="L6" i="44"/>
  <c r="K78" i="21"/>
  <c r="K88" i="21" s="1"/>
  <c r="L10" i="44"/>
  <c r="K75" i="18"/>
  <c r="K89" i="18"/>
  <c r="K90" i="18"/>
  <c r="L93" i="18"/>
  <c r="L94" i="18" s="1"/>
  <c r="L92" i="18" s="1"/>
  <c r="L35" i="18" s="1"/>
  <c r="Q95" i="40"/>
  <c r="Q97" i="40"/>
  <c r="Q94" i="40"/>
  <c r="Q11" i="22"/>
  <c r="R69" i="40"/>
  <c r="R70" i="40"/>
  <c r="Q96" i="40"/>
  <c r="K101" i="21" l="1"/>
  <c r="K107" i="21" s="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N16" i="44" l="1"/>
  <c r="M113" i="2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O23" i="21" s="1"/>
  <c r="O24" i="21" s="1"/>
  <c r="M62" i="21"/>
  <c r="M59" i="21" s="1"/>
  <c r="M77" i="21" s="1"/>
  <c r="N87" i="21" s="1"/>
  <c r="Q12" i="21"/>
  <c r="Q79" i="21" s="1"/>
  <c r="Q7" i="44"/>
  <c r="P13" i="21"/>
  <c r="M67" i="21"/>
  <c r="S33" i="44"/>
  <c r="U33" i="44"/>
  <c r="T33" i="44"/>
  <c r="W50" i="19"/>
  <c r="W49" i="17"/>
  <c r="M78" i="21"/>
  <c r="M88" i="21" s="1"/>
  <c r="N10" i="44"/>
  <c r="Q13"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M100" i="21" l="1"/>
  <c r="R7" i="44"/>
  <c r="N24" i="21"/>
  <c r="N30" i="21"/>
  <c r="N62" i="21" s="1"/>
  <c r="O8" i="44" s="1"/>
  <c r="Q50" i="21"/>
  <c r="N8" i="44"/>
  <c r="R12" i="21"/>
  <c r="R79" i="21" s="1"/>
  <c r="O30" i="21"/>
  <c r="O62" i="21" s="1"/>
  <c r="O16" i="44"/>
  <c r="N33" i="21"/>
  <c r="O18" i="44" s="1"/>
  <c r="N59" i="21"/>
  <c r="M21" i="20"/>
  <c r="M58" i="21"/>
  <c r="M57" i="21" s="1"/>
  <c r="S7" i="44"/>
  <c r="M95" i="21"/>
  <c r="M96" i="21" s="1"/>
  <c r="M103" i="21" s="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S12" i="21" l="1"/>
  <c r="S79" i="21" s="1"/>
  <c r="R13" i="21"/>
  <c r="R50" i="21"/>
  <c r="S50" i="21" s="1"/>
  <c r="T12" i="21"/>
  <c r="T79" i="21" s="1"/>
  <c r="M83" i="21"/>
  <c r="M85" i="21"/>
  <c r="M86" i="21"/>
  <c r="N70" i="21"/>
  <c r="M104" i="21"/>
  <c r="M105" i="21"/>
  <c r="W33" i="44"/>
  <c r="V33" i="44"/>
  <c r="X33" i="44"/>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V69" i="18"/>
  <c r="U75" i="18"/>
  <c r="U87" i="18"/>
  <c r="U88" i="18"/>
  <c r="U86" i="18"/>
  <c r="U85" i="18"/>
  <c r="V52" i="21"/>
  <c r="V60" i="21"/>
  <c r="U104" i="21" l="1"/>
  <c r="U105" i="21"/>
  <c r="U103" i="21"/>
  <c r="U101" i="21" s="1"/>
  <c r="V59" i="44" s="1"/>
  <c r="V58" i="44"/>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58" i="21" s="1"/>
  <c r="V57" i="21" s="1"/>
  <c r="W5" i="44" s="1"/>
  <c r="V78" i="21"/>
  <c r="V88" i="21" s="1"/>
  <c r="V77" i="21"/>
  <c r="W87" i="21"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<sst xmlns="http://schemas.openxmlformats.org/spreadsheetml/2006/main" count="815" uniqueCount="296">
  <si>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</si>
  <si>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</si>
  <si>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</si>
  <si>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</si>
  <si>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</si>
  <si>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</si>
  <si>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</si>
  <si>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</si>
  <si>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</si>
  <si>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</si>
  <si>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</si>
  <si>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</si>
  <si>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</si>
  <si>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</si>
  <si>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</si>
  <si>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</si>
  <si>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</si>
  <si>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</si>
  <si>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</si>
  <si>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</si>
  <si>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</si>
  <si>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</si>
  <si>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</si>
  <si>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</si>
  <si>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</si>
  <si>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</si>
  <si>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</si>
  <si>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</si>
  <si>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</si>
  <si>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</si>
  <si>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</si>
  <si>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</si>
  <si>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</si>
  <si>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</si>
  <si>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</si>
  <si>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</si>
  <si>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</si>
  <si>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</si>
  <si>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</si>
  <si>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</si>
  <si>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</si>
  <si>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</si>
  <si>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</si>
  <si>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</si>
  <si>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</si>
  <si>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</si>
  <si>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</si>
  <si>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</si>
  <si>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</si>
  <si>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</si>
  <si>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</si>
  <si>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</si>
  <si>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</si>
  <si>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</si>
  <si>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</si>
  <si>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</si>
  <si>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</si>
  <si>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</si>
  <si>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</si>
  <si>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</si>
  <si>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</si>
  <si>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</si>
  <si>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</si>
  <si>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</si>
  <si>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</si>
  <si>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</si>
  <si>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</si>
  <si>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</si>
  <si>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</si>
  <si>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</si>
  <si>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</si>
  <si>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</si>
  <si>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</si>
  <si>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</si>
  <si>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</si>
  <si>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</si>
  <si>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</si>
  <si>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</si>
  <si>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</si>
  <si>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</si>
  <si>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</si>
  <si>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</si>
  <si>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</si>
  <si>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</si>
  <si>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</si>
  <si>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</si>
  <si>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</si>
  <si>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</si>
  <si>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</si>
  <si>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</si>
  <si>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</si>
  <si>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</si>
  <si>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</si>
  <si>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</si>
  <si>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</si>
  <si>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</si>
  <si>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</si>
  <si>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</si>
  <si>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</si>
  <si>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</si>
  <si>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</si>
  <si>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</si>
  <si>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</si>
  <si>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</si>
  <si>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</si>
  <si>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</si>
  <si>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</si>
  <si>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</si>
  <si>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</si>
  <si>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</si>
  <si>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</si>
  <si>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</si>
  <si>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</si>
  <si>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</si>
  <si>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</si>
  <si>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</si>
  <si>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</si>
  <si>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</si>
  <si>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</si>
  <si>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</si>
  <si>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</si>
  <si>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</si>
  <si>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</si>
  <si>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</si>
  <si>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</si>
  <si>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</si>
  <si>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</si>
  <si>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</si>
  <si>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</si>
  <si>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</si>
  <si>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</si>
  <si>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</si>
  <si>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</si>
  <si>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</si>
  <si>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</si>
  <si>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</si>
  <si>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</si>
  <si>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</si>
  <si>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</si>
  <si>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</si>
  <si>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</si>
  <si>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</si>
  <si>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</si>
  <si>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</si>
  <si>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</si>
  <si>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</si>
  <si>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</si>
  <si>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</si>
  <si>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</si>
  <si>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</si>
  <si>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</si>
  <si>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</si>
  <si>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</si>
  <si>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</si>
  <si>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</si>
  <si>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</si>
  <si>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</si>
  <si>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</si>
  <si>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</si>
  <si>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</si>
  <si>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</si>
  <si>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</si>
  <si>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</si>
  <si>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SI</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</si>
  <si>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</si>
  <si>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</si>
  <si>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</si>
  <si>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</si>
  <si>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</si>
  <si>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</si>
  <si>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</si>
  <si>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</si>
  <si>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</si>
  <si>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</si>
  <si>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</si>
  <si>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</si>
  <si>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</si>
  <si>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</si>
  <si>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</si>
  <si>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</si>
  <si>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</si>
  <si>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</si>
  <si>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</si>
  <si>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</si>
  <si>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</si>
  <si>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</si>
  <si>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</si>
  <si>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</si>
  <si>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</si>
  <si>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</si>
  <si>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</si>
  <si>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</si>
  <si>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</si>
  <si>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</si>
  <si>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</si>
  <si>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</si>
  <si>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</si>
  <si>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</si>
  <si>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</si>
  <si>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</si>
  <si>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</si>
  <si>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</si>
  <si>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</si>
  <si>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</si>
  <si>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</si>
  <si>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</si>
  <si>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</si>
  <si>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</si>
  <si>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</si>
  <si>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</si>
  <si>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</si>
  <si>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</si>
  <si>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</si>
  <si>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</si>
  <si>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</si>
  <si>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</si>
  <si>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</si>
  <si>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</si>
  <si>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</si>
  <si>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</si>
  <si>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</si>
  <si>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</si>
  <si>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</si>
  <si>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</si>
  <si>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</si>
  <si>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</si>
  <si>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</si>
  <si>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</si>
  <si>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</si>
  <si>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</si>
  <si>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</si>
  <si>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</si>
  <si>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</si>
  <si>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</si>
  <si>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</si>
  <si>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</si>
  <si>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</si>
  <si>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</si>
  <si>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</si>
  <si>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</si>
  <si>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</si>
  <si>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</si>
  <si>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</si>
  <si>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</si>
  <si>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</si>
  <si>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</si>
  <si>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</si>
  <si>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</si>
  <si>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</si>
  <si>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</si>
  <si>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</si>
  <si>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</si>
  <si>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</si>
  <si>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</si>
  <si>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</si>
  <si>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</si>
  <si>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</si>
  <si>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</si>
  <si>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</si>
  <si>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</si>
  <si>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</si>
  <si>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</si>
  <si>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</si>
  <si>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</si>
  <si>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</si>
  <si>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</si>
  <si>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</si>
  <si>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</si>
  <si>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</si>
  <si>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</si>
  <si>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</si>
  <si>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</si>
  <si>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</si>
  <si>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</si>
  <si>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</si>
  <si>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</si>
  <si>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</si>
  <si>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</si>
  <si>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</si>
  <si>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</si>
  <si>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</si>
  <si>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</si>
  <si>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</si>
  <si>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</si>
  <si>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</si>
  <si>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</si>
  <si>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</si>
  <si>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</si>
  <si>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</si>
  <si>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</si>
  <si>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</si>
  <si>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</si>
  <si>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</si>
  <si>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0.44)</t>
  </si>
  <si>
    <t>Extension (annual adjustment of 0.26)</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</si>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</sst>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63.52490017138598</c:v>
                </c:pt>
                <c:pt idx="1">
                  <c:v>61.733292809090869</c:v>
                </c:pt>
                <c:pt idx="2">
                  <c:v>53.39400543680177</c:v>
                </c:pt>
                <c:pt idx="3">
                  <c:v>49.298203172899335</c:v>
                </c:pt>
                <c:pt idx="4">
                  <c:v>46.053379617456706</c:v>
                </c:pt>
                <c:pt idx="5">
                  <c:v>43.432287658243006</c:v>
                </c:pt>
                <c:pt idx="6">
                  <c:v>41.359386878721146</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3.8629150390625</c:v>
                </c:pt>
                <c:pt idx="3">
                  <c:v>5.1256256103515625</c:v>
                </c:pt>
                <c:pt idx="4">
                  <c:v>6.3904533386230469</c:v>
                </c:pt>
                <c:pt idx="5">
                  <c:v>7.2614669799804688</c:v>
                </c:pt>
                <c:pt idx="6">
                  <c:v>8.0119247436523438</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2.6467475891113281</c:v>
                </c:pt>
                <c:pt idx="3">
                  <c:v>3.8718147277832031</c:v>
                </c:pt>
                <c:pt idx="4">
                  <c:v>4.4596405029296875</c:v>
                </c:pt>
                <c:pt idx="5">
                  <c:v>5.149200439453125</c:v>
                </c:pt>
                <c:pt idx="6">
                  <c:v>5.6877937316894531</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2.6829338073730469</c:v>
                </c:pt>
                <c:pt idx="3">
                  <c:v>3.6627159118652344</c:v>
                </c:pt>
                <c:pt idx="4">
                  <c:v>4.4618721008300781</c:v>
                </c:pt>
                <c:pt idx="5">
                  <c:v>5.2677116394042969</c:v>
                </c:pt>
                <c:pt idx="6">
                  <c:v>5.9923782348632813</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3.9623184204101563</c:v>
                </c:pt>
                <c:pt idx="3">
                  <c:v>5.5550460815429688</c:v>
                </c:pt>
                <c:pt idx="4">
                  <c:v>6.764617919921875</c:v>
                </c:pt>
                <c:pt idx="5">
                  <c:v>7.7722129821777344</c:v>
                </c:pt>
                <c:pt idx="6">
                  <c:v>8.5543785095214844</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63.52490017138598</c:v>
                </c:pt>
                <c:pt idx="1">
                  <c:v>61.733292809090869</c:v>
                </c:pt>
                <c:pt idx="2">
                  <c:v>62.586601872348645</c:v>
                </c:pt>
                <c:pt idx="3">
                  <c:v>61.958359422899335</c:v>
                </c:pt>
                <c:pt idx="4">
                  <c:v>61.365345559839518</c:v>
                </c:pt>
                <c:pt idx="5">
                  <c:v>61.110666717080896</c:v>
                </c:pt>
                <c:pt idx="6">
                  <c:v>61.051483588926224</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63.52490017138598</c:v>
                </c:pt>
                <c:pt idx="1">
                  <c:v>61.733292809090869</c:v>
                </c:pt>
                <c:pt idx="2">
                  <c:v>57.25692047586427</c:v>
                </c:pt>
                <c:pt idx="3">
                  <c:v>54.423828783250897</c:v>
                </c:pt>
                <c:pt idx="4">
                  <c:v>52.443832956079753</c:v>
                </c:pt>
                <c:pt idx="5">
                  <c:v>50.693754638223474</c:v>
                </c:pt>
                <c:pt idx="6">
                  <c:v>49.37131162237349</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63.52490017138598</c:v>
                </c:pt>
                <c:pt idx="1">
                  <c:v>61.733292809090869</c:v>
                </c:pt>
                <c:pt idx="2">
                  <c:v>66.548920292758794</c:v>
                </c:pt>
                <c:pt idx="3">
                  <c:v>67.513405504442304</c:v>
                </c:pt>
                <c:pt idx="4">
                  <c:v>68.129963479761386</c:v>
                </c:pt>
                <c:pt idx="5">
                  <c:v>68.882879699258638</c:v>
                </c:pt>
                <c:pt idx="6">
                  <c:v>69.605862098447716</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GB"/>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63.52490017138598</c:v>
                </c:pt>
                <c:pt idx="1">
                  <c:v>61.733292809090869</c:v>
                </c:pt>
                <c:pt idx="2">
                  <c:v>59.903668064975598</c:v>
                </c:pt>
                <c:pt idx="3">
                  <c:v>58.2956435110341</c:v>
                </c:pt>
                <c:pt idx="4">
                  <c:v>56.90347345900944</c:v>
                </c:pt>
                <c:pt idx="5">
                  <c:v>55.842955077676599</c:v>
                </c:pt>
                <c:pt idx="6">
                  <c:v>55.059105354062943</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63.52490017138598</c:v>
                </c:pt>
                <c:pt idx="1">
                  <c:v>61.733292809090869</c:v>
                </c:pt>
                <c:pt idx="2">
                  <c:v>53.39400543680177</c:v>
                </c:pt>
                <c:pt idx="3">
                  <c:v>49.298203172899335</c:v>
                </c:pt>
                <c:pt idx="4">
                  <c:v>46.053379617456706</c:v>
                </c:pt>
                <c:pt idx="5">
                  <c:v>43.432287658243006</c:v>
                </c:pt>
                <c:pt idx="6">
                  <c:v>41.359386878721146</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zoomScaleNormal="100" workbookViewId="0"/>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0.44</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Not met</v>
      </c>
      <c r="H12" s="220" t="str">
        <f>IF(OR('Adjust. no safeguard'!F57&gt;60,'Adjust. no safeguard'!F77&lt;-3),IF($F$5=4,IF(Stochastic!$O$17&lt;Stochastic!$J$17,"ok","Not met"),IF(Stochastic!$R$17&lt;Stochastic!$M$17,"ok","Not met")),"")</f>
        <v>ok</v>
      </c>
      <c r="I12" s="8" t="str">
        <f ca="1">IF(MIN(OFFSET('Adjust. no safeguard'!$F$77,0,$F$5,1,11))&gt;-3.05,"ok","Not met")</f>
        <v>ok</v>
      </c>
      <c r="J12" s="12" t="str">
        <f ca="1">IF(OFFSET('Adjust. no safeguard'!$F$57,0,$F$5+10,1,1)&lt;60,"ok","Not met")</f>
        <v>ok</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ok</v>
      </c>
      <c r="M12" s="419">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-1.5850459399911594</v>
      </c>
      <c r="N12" s="457" t="str">
        <f>IF(AND(O12=0,F6&lt;0.5),"not relevant","ok")</f>
        <v>not relevant</v>
      </c>
      <c r="O12" s="413">
        <f>IF(F6&lt;0.5,COUNTIFS('Adjustment scenario'!F77:H77,"&lt;"&amp;-3.049),0)+IF(AND(F5=4,J19&gt;0.5,J19&gt;F6),1,COUNTIFS(J19:M19,"&gt;" &amp; F6,J19:M19,"&gt;"&amp;0.5))</f>
        <v>0</v>
      </c>
      <c r="P12" s="416" t="str">
        <f>IF(OR(AND(F5=4,Q12=0,F6&lt;0.4),AND(F5=7,Q12=0,F6&lt;0.25)),"not relevant, 
(over the adjustment horizon)","ok")</f>
        <v>ok</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Not met</v>
      </c>
      <c r="H13" s="220"/>
      <c r="I13" s="8"/>
      <c r="J13" s="12" t="str">
        <f ca="1">IF(OR('Adjustment scenario'!F57&gt;60,'Adjustment scenario'!F77&lt;-3),IF(OFFSET('Financial stress'!$F$56,0,$F$5+10,1,1)&lt;60,"ok","Not met"),"")</f>
        <v>ok</v>
      </c>
      <c r="L13" s="417"/>
      <c r="M13" s="420"/>
      <c r="N13" s="458"/>
      <c r="O13" s="414"/>
      <c r="P13" s="417"/>
      <c r="Q13" s="449"/>
      <c r="V13" s="387">
        <v>0.22</v>
      </c>
    </row>
    <row r="14" spans="1:22" x14ac:dyDescent="0.2">
      <c r="D14" s="14" t="s">
        <v>27</v>
      </c>
      <c r="G14" s="10" t="str">
        <f ca="1">IF(OR('Adjustment scenario'!F57&gt;60,'Adjustment scenario'!F77&lt;-3),IF(SUM(OFFSET('Lower SPB'!$F$75,0,$F$5+1,1,10))=0,"ok","Not met"),"")</f>
        <v>Not met</v>
      </c>
      <c r="H14" s="220"/>
      <c r="I14" s="8"/>
      <c r="J14" s="12" t="str">
        <f ca="1">IF(OR('Adjustment scenario'!F57&gt;60,'Adjustment scenario'!F77&lt;-3),IF(OFFSET('Lower SPB'!$F$56,0,$F$5+10,1,1)&lt;60,"ok","Not met"),"")</f>
        <v>ok</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Not met</v>
      </c>
      <c r="H15" s="221"/>
      <c r="I15" s="9"/>
      <c r="J15" s="13" t="str">
        <f ca="1">IF(OR('Adjustment scenario'!F57&gt;60,'Adjustment scenario'!F77&lt;-3),IF(OFFSET('Adverse (r-g)'!$F$57,0,$F$5+10,1,1)&lt;60,"ok","Not met"),"")</f>
        <v>ok</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0.43999999999999995</v>
      </c>
      <c r="H19" s="239">
        <f>'Adjustment scenario'!H12-'Adjustment scenario'!G12</f>
        <v>0.44</v>
      </c>
      <c r="I19" s="239">
        <f>'Adjustment scenario'!I12-'Adjustment scenario'!H12</f>
        <v>0.44</v>
      </c>
      <c r="J19" s="239">
        <f>'Adjustment scenario'!J12-'Adjustment scenario'!I12</f>
        <v>0.44000000000000006</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4.8931067176377612</v>
      </c>
      <c r="H20" s="238">
        <f>'Adjustment scenario'!H79</f>
        <v>4.4549468426377619</v>
      </c>
      <c r="I20" s="238">
        <f>'Adjustment scenario'!I79</f>
        <v>4.2630979676377612</v>
      </c>
      <c r="J20" s="238">
        <f>'Adjustment scenario'!J79</f>
        <v>4.1525610926377619</v>
      </c>
      <c r="K20" s="238">
        <f>'Adjustment scenario'!K79</f>
        <v>5.0618995</v>
      </c>
      <c r="L20" s="238">
        <f>'Adjustment scenario'!L79</f>
        <v>5.0083756249999993</v>
      </c>
      <c r="M20" s="241">
        <f>'Adjustment scenario'!M79</f>
        <v>4.9349617499999994</v>
      </c>
      <c r="N20" s="256"/>
      <c r="P20" s="232"/>
      <c r="V20" s="387">
        <v>0.36</v>
      </c>
    </row>
    <row r="21" spans="4:22" ht="15" customHeight="1" x14ac:dyDescent="0.2">
      <c r="D21" s="283" t="s">
        <v>41</v>
      </c>
      <c r="E21" s="274"/>
      <c r="F21" s="275"/>
      <c r="G21" s="279">
        <f>'Adjustment scenario'!G77</f>
        <v>-2.2635120586866133</v>
      </c>
      <c r="H21" s="280">
        <f>'Adjustment scenario'!H77</f>
        <v>-1.6780109444387774</v>
      </c>
      <c r="I21" s="280">
        <f>'Adjustment scenario'!I77</f>
        <v>-1.456050741573006</v>
      </c>
      <c r="J21" s="280">
        <f>'Adjustment scenario'!J77</f>
        <v>-1.1594077481159688</v>
      </c>
      <c r="K21" s="280">
        <f>'Adjustment scenario'!K77</f>
        <v>-1.2619322357082103</v>
      </c>
      <c r="L21" s="280">
        <f>'Adjustment scenario'!L77</f>
        <v>-1.3621356032026557</v>
      </c>
      <c r="M21" s="281">
        <f>'Adjustment scenario'!M77</f>
        <v>-1.4584805298501315</v>
      </c>
      <c r="N21" s="256"/>
      <c r="P21" s="232"/>
      <c r="V21" s="387">
        <v>0.38</v>
      </c>
    </row>
    <row r="22" spans="4:22" ht="15" customHeight="1" x14ac:dyDescent="0.2">
      <c r="D22" s="283" t="s">
        <v>42</v>
      </c>
      <c r="E22" s="274"/>
      <c r="F22" s="275"/>
      <c r="G22" s="276">
        <f>'Adjustment scenario'!G78</f>
        <v>-2.2066653431218044</v>
      </c>
      <c r="H22" s="277">
        <f>'Adjustment scenario'!H78</f>
        <v>-1.8058413430778231</v>
      </c>
      <c r="I22" s="277">
        <f>'Adjustment scenario'!I78</f>
        <v>-1.3899638458319283</v>
      </c>
      <c r="J22" s="277">
        <f>'Adjustment scenario'!J78</f>
        <v>-0.96458077920345642</v>
      </c>
      <c r="K22" s="277">
        <f>'Adjustment scenario'!K78</f>
        <v>-1.1320475897665303</v>
      </c>
      <c r="L22" s="277">
        <f>'Adjustment scenario'!L78</f>
        <v>-1.2971932802318129</v>
      </c>
      <c r="M22" s="282">
        <f>'Adjustment scenario'!M78</f>
        <v>-1.4584805298501315</v>
      </c>
      <c r="N22" s="256"/>
      <c r="P22" s="232"/>
      <c r="V22" s="387">
        <v>0.4</v>
      </c>
    </row>
    <row r="23" spans="4:22" ht="15" customHeight="1" x14ac:dyDescent="0.2">
      <c r="D23" s="283" t="s">
        <v>43</v>
      </c>
      <c r="E23" s="274"/>
      <c r="F23" s="275"/>
      <c r="G23" s="237">
        <f>'Adjustment scenario'!G57</f>
        <v>66.45039802251047</v>
      </c>
      <c r="H23" s="238">
        <f>'Adjustment scenario'!H57</f>
        <v>65.072880781600873</v>
      </c>
      <c r="I23" s="238">
        <f>'Adjustment scenario'!I57</f>
        <v>63.52490017138598</v>
      </c>
      <c r="J23" s="238">
        <f>'Adjustment scenario'!J57</f>
        <v>61.733292809090869</v>
      </c>
      <c r="K23" s="238">
        <f>'Adjustment scenario'!K57</f>
        <v>59.903668064975598</v>
      </c>
      <c r="L23" s="238">
        <f>'Adjustment scenario'!L57</f>
        <v>58.2956435110341</v>
      </c>
      <c r="M23" s="241">
        <f>'Adjustment scenario'!M57</f>
        <v>56.90347345900944</v>
      </c>
      <c r="N23" s="256"/>
      <c r="P23" s="232"/>
      <c r="V23" s="387">
        <v>0.42</v>
      </c>
    </row>
    <row r="24" spans="4:22" ht="15" customHeight="1" x14ac:dyDescent="0.2">
      <c r="D24" s="439" t="s">
        <v>31</v>
      </c>
      <c r="E24" s="439"/>
      <c r="F24" s="439"/>
      <c r="G24" s="278">
        <f>AVERAGE(G19:J19)</f>
        <v>0.43999999999999995</v>
      </c>
      <c r="I24" s="232"/>
      <c r="J24" s="232"/>
      <c r="K24" s="232"/>
      <c r="L24" s="232"/>
      <c r="M24" s="232"/>
      <c r="N24" s="232"/>
      <c r="P24" s="236"/>
      <c r="V24" s="387">
        <v>0.44</v>
      </c>
    </row>
    <row r="25" spans="4:22" x14ac:dyDescent="0.2">
      <c r="D25" s="242" t="s">
        <v>32</v>
      </c>
      <c r="E25" s="377"/>
      <c r="F25" s="376"/>
      <c r="G25" s="272">
        <f>IF(F5=4,AVERAGE(G19:J19),AVERAGE(G19:M19))</f>
        <v>0.43999999999999995</v>
      </c>
      <c r="H25" s="232"/>
      <c r="Q25" s="231"/>
      <c r="V25" s="387">
        <v>0.46</v>
      </c>
    </row>
    <row r="26" spans="4:22" x14ac:dyDescent="0.2">
      <c r="D26" s="408" t="s">
        <v>33</v>
      </c>
      <c r="E26" s="409"/>
      <c r="F26" s="409"/>
      <c r="G26" s="374">
        <f>AVERAGE(G20:J20)</f>
        <v>4.4409281551377617</v>
      </c>
      <c r="Q26" s="231"/>
      <c r="V26" s="387">
        <v>0.48</v>
      </c>
    </row>
    <row r="27" spans="4:22" ht="15" customHeight="1" x14ac:dyDescent="0.2">
      <c r="D27" s="410" t="s">
        <v>34</v>
      </c>
      <c r="E27" s="411"/>
      <c r="F27" s="411"/>
      <c r="G27" s="375">
        <f>IF(F5=4,AVERAGE(G20:J20),AVERAGE(G20:M20))</f>
        <v>4.4409281551377617</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0.44</v>
      </c>
      <c r="H33" s="202">
        <v>0.26</v>
      </c>
      <c r="V33" s="387">
        <v>0.62</v>
      </c>
    </row>
    <row r="34" spans="4:22" x14ac:dyDescent="0.2">
      <c r="D34" s="371" t="s">
        <v>283</v>
      </c>
      <c r="E34" s="208"/>
      <c r="F34" s="209"/>
      <c r="G34" s="212">
        <v>72.079999923706055</v>
      </c>
      <c r="H34" s="203">
        <v>68.139999389648438</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4.4409281551377617</v>
      </c>
      <c r="H40" s="323">
        <v>4.8931067176377612</v>
      </c>
      <c r="I40" s="323">
        <v>4.4549468426377619</v>
      </c>
      <c r="J40" s="323">
        <v>4.2630979676377612</v>
      </c>
      <c r="K40" s="323">
        <v>4.1525610926377619</v>
      </c>
      <c r="L40" s="317"/>
      <c r="M40" s="317"/>
      <c r="N40" s="318"/>
      <c r="U40" s="388"/>
      <c r="V40" s="389">
        <v>0.76</v>
      </c>
    </row>
    <row r="41" spans="4:22" s="314" customFormat="1" ht="15" customHeight="1" x14ac:dyDescent="0.2">
      <c r="D41" s="429" t="s">
        <v>192</v>
      </c>
      <c r="E41" s="430"/>
      <c r="F41" s="431"/>
      <c r="G41" s="202">
        <v>0.43999999999999995</v>
      </c>
      <c r="H41" s="319">
        <v>0.43999999999999995</v>
      </c>
      <c r="I41" s="319">
        <v>0.44</v>
      </c>
      <c r="J41" s="319">
        <v>0.44</v>
      </c>
      <c r="K41" s="319">
        <v>0.44000000000000006</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4.8273588161041321</v>
      </c>
      <c r="H43" s="323">
        <v>5.2795373786041315</v>
      </c>
      <c r="I43" s="323">
        <v>4.8413775036041322</v>
      </c>
      <c r="J43" s="323">
        <v>4.6495286286041315</v>
      </c>
      <c r="K43" s="323">
        <v>4.5389917536041322</v>
      </c>
      <c r="L43" s="323">
        <v>4.5037218786041322</v>
      </c>
      <c r="M43" s="323">
        <v>4.4501980036041315</v>
      </c>
      <c r="N43" s="324">
        <v>4.3767841286041316</v>
      </c>
      <c r="U43" s="388"/>
      <c r="V43" s="389">
        <v>0.82</v>
      </c>
    </row>
    <row r="44" spans="4:22" s="314" customFormat="1" ht="15" customHeight="1" x14ac:dyDescent="0.2">
      <c r="D44" s="432" t="s">
        <v>192</v>
      </c>
      <c r="E44" s="433"/>
      <c r="F44" s="434"/>
      <c r="G44" s="311">
        <v>0.26</v>
      </c>
      <c r="H44" s="325">
        <v>0.26</v>
      </c>
      <c r="I44" s="325">
        <v>0.26</v>
      </c>
      <c r="J44" s="325">
        <v>0.26</v>
      </c>
      <c r="K44" s="325">
        <v>0.26</v>
      </c>
      <c r="L44" s="325">
        <v>0.26</v>
      </c>
      <c r="M44" s="325">
        <v>0.26</v>
      </c>
      <c r="N44" s="326">
        <v>0.26</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051E3D13-1C39-4000-951E-D766715C8F54}">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74.367679999999993</v>
      </c>
      <c r="D12" s="147">
        <v>72.475949999999997</v>
      </c>
      <c r="E12" s="147">
        <v>69.219570000000004</v>
      </c>
      <c r="F12" s="147">
        <v>68.07347</v>
      </c>
      <c r="G12" s="59" t="s">
        <v>47</v>
      </c>
      <c r="H12" s="59" t="s">
        <v>47</v>
      </c>
      <c r="I12" s="59" t="s">
        <v>47</v>
      </c>
      <c r="J12" s="59" t="s">
        <v>47</v>
      </c>
      <c r="K12" s="59" t="s">
        <v>47</v>
      </c>
      <c r="L12" s="59" t="s">
        <v>47</v>
      </c>
      <c r="M12" s="59" t="s">
        <v>47</v>
      </c>
      <c r="N12" s="59" t="s">
        <v>47</v>
      </c>
      <c r="O12" s="59" t="s">
        <v>47</v>
      </c>
    </row>
    <row r="13" spans="1:54" x14ac:dyDescent="0.2">
      <c r="A13" s="60"/>
      <c r="B13" s="60" t="s">
        <v>48</v>
      </c>
      <c r="C13" s="59">
        <v>-4.6923700000000004</v>
      </c>
      <c r="D13" s="147">
        <v>-3.2634059999999998</v>
      </c>
      <c r="E13" s="147">
        <v>-1.555059</v>
      </c>
      <c r="F13" s="147">
        <v>-1.244675</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v>
      </c>
      <c r="D14" s="147">
        <v>0</v>
      </c>
      <c r="E14" s="147">
        <v>-0.40577220000000003</v>
      </c>
      <c r="F14" s="147">
        <v>-0.65215420000000002</v>
      </c>
      <c r="G14" s="147">
        <v>-0.47665220000000003</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-1.7974220000000001</v>
      </c>
      <c r="D15" s="147">
        <v>1.3303780000000001</v>
      </c>
      <c r="E15" s="147">
        <v>1.2366839999999999</v>
      </c>
      <c r="F15" s="147">
        <v>-0.20000760000000001</v>
      </c>
      <c r="G15" s="147">
        <v>-0.2</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-1.80084</v>
      </c>
      <c r="D16" s="147">
        <v>1.330379</v>
      </c>
      <c r="E16" s="147">
        <v>1.2366870000000001</v>
      </c>
      <c r="F16" s="147">
        <v>-0.20000970000000001</v>
      </c>
      <c r="G16" s="147">
        <v>-0.2000015</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0</v>
      </c>
      <c r="E17" s="367">
        <v>0</v>
      </c>
      <c r="F17" s="367">
        <v>0</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22.025169999999999</v>
      </c>
      <c r="E20" s="148">
        <f t="shared" si="0"/>
        <v>22.097189999999998</v>
      </c>
      <c r="F20" s="148">
        <f t="shared" si="0"/>
        <v>22.199599999999997</v>
      </c>
      <c r="G20" s="148">
        <f t="shared" si="0"/>
        <v>22.362199999999998</v>
      </c>
      <c r="H20" s="148">
        <f t="shared" si="0"/>
        <v>22.526659999999996</v>
      </c>
      <c r="I20" s="148">
        <f t="shared" si="0"/>
        <v>22.697230000000001</v>
      </c>
      <c r="J20" s="148">
        <f t="shared" si="0"/>
        <v>22.903919999999999</v>
      </c>
      <c r="K20" s="148">
        <f t="shared" si="0"/>
        <v>23.074540000000002</v>
      </c>
      <c r="L20" s="148">
        <f t="shared" si="0"/>
        <v>23.2395</v>
      </c>
      <c r="M20" s="148">
        <f t="shared" si="0"/>
        <v>23.397020000000001</v>
      </c>
      <c r="N20" s="148">
        <f t="shared" si="0"/>
        <v>23.54317</v>
      </c>
      <c r="O20" s="148">
        <f t="shared" si="0"/>
        <v>23.73443</v>
      </c>
      <c r="P20" s="148">
        <f t="shared" si="0"/>
        <v>23.866290000000003</v>
      </c>
      <c r="Q20" s="148">
        <f t="shared" si="0"/>
        <v>24.047149999999998</v>
      </c>
      <c r="R20" s="148">
        <f t="shared" si="0"/>
        <v>24.20204</v>
      </c>
      <c r="S20" s="148">
        <f t="shared" si="0"/>
        <v>24.33447</v>
      </c>
      <c r="T20" s="148">
        <f t="shared" si="0"/>
        <v>24.513950000000001</v>
      </c>
      <c r="U20" s="148">
        <f t="shared" ref="U20:W20" si="1">(U21+U22+U23+U24-U25)</f>
        <v>24.71762</v>
      </c>
      <c r="V20" s="148">
        <f t="shared" si="1"/>
        <v>24.860289999999999</v>
      </c>
      <c r="W20" s="148">
        <f t="shared" si="1"/>
        <v>25.002420000000001</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9.8440600000000007</v>
      </c>
      <c r="E21" s="148">
        <v>10.120659999999999</v>
      </c>
      <c r="F21" s="148">
        <v>10.204699999999999</v>
      </c>
      <c r="G21" s="148">
        <v>10.245569999999999</v>
      </c>
      <c r="H21" s="148">
        <v>10.29504</v>
      </c>
      <c r="I21" s="148">
        <v>10.391830000000001</v>
      </c>
      <c r="J21" s="148">
        <v>10.54218</v>
      </c>
      <c r="K21" s="148">
        <v>10.668950000000001</v>
      </c>
      <c r="L21" s="148">
        <v>10.789200000000001</v>
      </c>
      <c r="M21" s="148">
        <v>10.90292</v>
      </c>
      <c r="N21" s="148">
        <v>11.012460000000001</v>
      </c>
      <c r="O21" s="148">
        <v>11.17441</v>
      </c>
      <c r="P21" s="148">
        <v>11.282159999999999</v>
      </c>
      <c r="Q21" s="148">
        <v>11.44309</v>
      </c>
      <c r="R21" s="148">
        <v>11.579409999999999</v>
      </c>
      <c r="S21" s="148">
        <v>11.687899999999999</v>
      </c>
      <c r="T21" s="148">
        <v>11.843720000000001</v>
      </c>
      <c r="U21" s="148">
        <v>12.01787</v>
      </c>
      <c r="V21" s="148">
        <v>12.126950000000001</v>
      </c>
      <c r="W21" s="148">
        <v>12.22804</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6.986390000000001</v>
      </c>
      <c r="E22" s="148">
        <v>6.8522600000000002</v>
      </c>
      <c r="F22" s="148">
        <v>6.8864900000000002</v>
      </c>
      <c r="G22" s="148">
        <v>6.9112800000000005</v>
      </c>
      <c r="H22" s="148">
        <v>6.9591399999999997</v>
      </c>
      <c r="I22" s="148">
        <v>7.0035200000000009</v>
      </c>
      <c r="J22" s="148">
        <v>7.0562799999999992</v>
      </c>
      <c r="K22" s="148">
        <v>7.1024100000000008</v>
      </c>
      <c r="L22" s="148">
        <v>7.1495699999999998</v>
      </c>
      <c r="M22" s="148">
        <v>7.1995800000000001</v>
      </c>
      <c r="N22" s="148">
        <v>7.2462600000000004</v>
      </c>
      <c r="O22" s="148">
        <v>7.2914300000000001</v>
      </c>
      <c r="P22" s="148">
        <v>7.3357700000000001</v>
      </c>
      <c r="Q22" s="148">
        <v>7.3798500000000002</v>
      </c>
      <c r="R22" s="148">
        <v>7.4206700000000003</v>
      </c>
      <c r="S22" s="148">
        <v>7.4619900000000001</v>
      </c>
      <c r="T22" s="148">
        <v>7.4981999999999989</v>
      </c>
      <c r="U22" s="148">
        <v>7.5349399999999997</v>
      </c>
      <c r="V22" s="148">
        <v>7.5661300000000002</v>
      </c>
      <c r="W22" s="148">
        <v>7.59551</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1.02122</v>
      </c>
      <c r="E23" s="148">
        <v>0.9927999999999999</v>
      </c>
      <c r="F23" s="148">
        <v>0.99632999999999994</v>
      </c>
      <c r="G23" s="148">
        <v>1.0930799999999998</v>
      </c>
      <c r="H23" s="148">
        <v>1.1599200000000001</v>
      </c>
      <c r="I23" s="148">
        <v>1.19414</v>
      </c>
      <c r="J23" s="148">
        <v>1.2065899999999998</v>
      </c>
      <c r="K23" s="148">
        <v>1.21933</v>
      </c>
      <c r="L23" s="148">
        <v>1.2359599999999999</v>
      </c>
      <c r="M23" s="148">
        <v>1.2547000000000001</v>
      </c>
      <c r="N23" s="148">
        <v>1.27752</v>
      </c>
      <c r="O23" s="148">
        <v>1.3011200000000001</v>
      </c>
      <c r="P23" s="148">
        <v>1.32396</v>
      </c>
      <c r="Q23" s="148">
        <v>1.34535</v>
      </c>
      <c r="R23" s="148">
        <v>1.36869</v>
      </c>
      <c r="S23" s="148">
        <v>1.39497</v>
      </c>
      <c r="T23" s="148">
        <v>1.4217299999999999</v>
      </c>
      <c r="U23" s="148">
        <v>1.44828</v>
      </c>
      <c r="V23" s="148">
        <v>1.4762600000000001</v>
      </c>
      <c r="W23" s="148">
        <v>1.50502</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4.26816</v>
      </c>
      <c r="E24" s="148">
        <v>4.22879</v>
      </c>
      <c r="F24" s="148">
        <v>4.21021</v>
      </c>
      <c r="G24" s="148">
        <v>4.2107899999999994</v>
      </c>
      <c r="H24" s="148">
        <v>4.2115600000000004</v>
      </c>
      <c r="I24" s="148">
        <v>4.2076700000000002</v>
      </c>
      <c r="J24" s="148">
        <v>4.2002499999999996</v>
      </c>
      <c r="K24" s="148">
        <v>4.1864400000000002</v>
      </c>
      <c r="L24" s="148">
        <v>4.16852</v>
      </c>
      <c r="M24" s="148">
        <v>4.14466</v>
      </c>
      <c r="N24" s="148">
        <v>4.1128299999999998</v>
      </c>
      <c r="O24" s="148">
        <v>4.0749199999999997</v>
      </c>
      <c r="P24" s="148">
        <v>4.0328900000000001</v>
      </c>
      <c r="Q24" s="148">
        <v>3.9889000000000001</v>
      </c>
      <c r="R24" s="148">
        <v>3.94462</v>
      </c>
      <c r="S24" s="148">
        <v>3.9020000000000001</v>
      </c>
      <c r="T24" s="148">
        <v>3.8641899999999998</v>
      </c>
      <c r="U24" s="148">
        <v>3.8321000000000001</v>
      </c>
      <c r="V24" s="148">
        <v>3.8075600000000001</v>
      </c>
      <c r="W24" s="148">
        <v>3.7914400000000001</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9.4660000000000008E-2</v>
      </c>
      <c r="E25" s="148">
        <v>9.7320000000000004E-2</v>
      </c>
      <c r="F25" s="148">
        <v>9.8130000000000009E-2</v>
      </c>
      <c r="G25" s="148">
        <v>9.852000000000001E-2</v>
      </c>
      <c r="H25" s="148">
        <v>9.9000000000000005E-2</v>
      </c>
      <c r="I25" s="148">
        <v>9.9930000000000005E-2</v>
      </c>
      <c r="J25" s="148">
        <v>0.10138</v>
      </c>
      <c r="K25" s="148">
        <v>0.10259</v>
      </c>
      <c r="L25" s="148">
        <v>0.10375</v>
      </c>
      <c r="M25" s="148">
        <v>0.10483999999999999</v>
      </c>
      <c r="N25" s="148">
        <v>0.10590000000000001</v>
      </c>
      <c r="O25" s="148">
        <v>0.10744999999999999</v>
      </c>
      <c r="P25" s="148">
        <v>0.10849</v>
      </c>
      <c r="Q25" s="148">
        <v>0.11004000000000001</v>
      </c>
      <c r="R25" s="148">
        <v>0.11134999999999999</v>
      </c>
      <c r="S25" s="148">
        <v>0.11238999999999999</v>
      </c>
      <c r="T25" s="148">
        <v>0.11388999999999999</v>
      </c>
      <c r="U25" s="148">
        <v>0.11556999999999999</v>
      </c>
      <c r="V25" s="148">
        <v>0.11661000000000001</v>
      </c>
      <c r="W25" s="148">
        <v>0.11758999999999999</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0.60368690000000003</v>
      </c>
      <c r="D26" s="148">
        <v>0.70882940000000005</v>
      </c>
      <c r="E26" s="148">
        <v>0.70974680000000001</v>
      </c>
      <c r="F26" s="148">
        <v>0.71066430000000003</v>
      </c>
      <c r="G26" s="148">
        <v>0.71158169999999998</v>
      </c>
      <c r="H26" s="148">
        <v>0.71249910000000005</v>
      </c>
      <c r="I26" s="148">
        <v>0.71341659999999996</v>
      </c>
      <c r="J26" s="148">
        <v>0.71433409999999997</v>
      </c>
      <c r="K26" s="148">
        <v>0.71525159999999999</v>
      </c>
      <c r="L26" s="148">
        <v>0.71616900000000006</v>
      </c>
      <c r="M26" s="148">
        <v>0.71708649999999996</v>
      </c>
      <c r="N26" s="148">
        <v>0.71800399999999998</v>
      </c>
      <c r="O26" s="148">
        <v>0.71892140000000004</v>
      </c>
      <c r="P26" s="148">
        <v>0.71983889999999995</v>
      </c>
      <c r="Q26" s="148">
        <v>0.72075639999999996</v>
      </c>
      <c r="R26" s="148">
        <v>0.72167380000000003</v>
      </c>
      <c r="S26" s="148">
        <v>0.72259130000000005</v>
      </c>
      <c r="T26" s="148">
        <v>0.7235087</v>
      </c>
      <c r="U26" s="148">
        <v>0.72442620000000002</v>
      </c>
      <c r="V26" s="148">
        <v>0.72534370000000004</v>
      </c>
      <c r="W26" s="148">
        <v>0.72626109999999999</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8.228491</v>
      </c>
      <c r="D30" s="153">
        <v>2.4607920000000001</v>
      </c>
      <c r="E30" s="153">
        <v>1.586897</v>
      </c>
      <c r="F30" s="153">
        <v>2.3434569999999999</v>
      </c>
      <c r="G30" s="153">
        <v>3.0149849999999998</v>
      </c>
      <c r="H30" s="153">
        <v>2.0775760000000001</v>
      </c>
      <c r="I30" s="153">
        <v>1.798252</v>
      </c>
      <c r="J30" s="153">
        <v>2.013325</v>
      </c>
      <c r="K30" s="153">
        <v>2.3063069999999999</v>
      </c>
      <c r="L30" s="153">
        <v>2.3041770000000001</v>
      </c>
      <c r="M30" s="153">
        <v>2.282165</v>
      </c>
      <c r="N30" s="153">
        <v>2.2710119999999998</v>
      </c>
      <c r="O30" s="153">
        <v>2.2812250000000001</v>
      </c>
      <c r="P30" s="154">
        <v>2.164819</v>
      </c>
      <c r="Q30" s="154">
        <v>2.048413</v>
      </c>
      <c r="R30" s="154">
        <v>1.9320040000000001</v>
      </c>
      <c r="S30" s="154">
        <v>1.876234</v>
      </c>
      <c r="T30" s="154">
        <v>1.7763089999999999</v>
      </c>
      <c r="U30" s="154">
        <v>1.665694</v>
      </c>
      <c r="V30" s="154">
        <v>1.536637</v>
      </c>
      <c r="W30" s="154">
        <v>1.4456929999999999</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47.094990000000003</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2.4424800000000002</v>
      </c>
      <c r="D33" s="153">
        <v>2.3589479999999998</v>
      </c>
      <c r="E33" s="153">
        <v>2.9879660000000001</v>
      </c>
      <c r="F33" s="153">
        <v>2.8587280000000002</v>
      </c>
      <c r="G33" s="153">
        <v>2.8765239999999999</v>
      </c>
      <c r="H33" s="153">
        <v>2.4897629999999999</v>
      </c>
      <c r="I33" s="153">
        <v>2.349313</v>
      </c>
      <c r="J33" s="153">
        <v>2.2901750000000001</v>
      </c>
      <c r="K33" s="153">
        <v>2.3063039999999999</v>
      </c>
      <c r="L33" s="153">
        <v>2.304179</v>
      </c>
      <c r="M33" s="153">
        <v>2.2821639999999999</v>
      </c>
      <c r="N33" s="153">
        <v>2.2710089999999998</v>
      </c>
      <c r="O33" s="153">
        <v>2.2812250000000001</v>
      </c>
      <c r="P33" s="154">
        <v>2.164819</v>
      </c>
      <c r="Q33" s="154">
        <v>2.0484140000000002</v>
      </c>
      <c r="R33" s="154">
        <v>1.9320079999999999</v>
      </c>
      <c r="S33" s="154">
        <v>1.876234</v>
      </c>
      <c r="T33" s="154">
        <v>1.776311</v>
      </c>
      <c r="U33" s="154">
        <v>1.6656960000000001</v>
      </c>
      <c r="V33" s="154">
        <v>1.536632</v>
      </c>
      <c r="W33" s="154">
        <v>1.4456979999999999</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45.770859999999999</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1.7379089999999999</v>
      </c>
      <c r="D37" s="147">
        <v>1.6448419999999999</v>
      </c>
      <c r="E37" s="147">
        <v>1.8992169999999999</v>
      </c>
      <c r="F37" s="147">
        <v>2.1593610000000001</v>
      </c>
      <c r="G37" s="147">
        <v>2.1774469999999999</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0.35</v>
      </c>
      <c r="E38" s="147">
        <v>3.43</v>
      </c>
      <c r="F38" s="288">
        <v>3.5642079999999998</v>
      </c>
      <c r="G38" s="289">
        <v>2.8163749999999999</v>
      </c>
      <c r="H38" s="59"/>
    </row>
    <row r="39" spans="1:54" x14ac:dyDescent="0.2">
      <c r="A39" s="60"/>
      <c r="B39" s="149" t="s">
        <v>65</v>
      </c>
      <c r="D39" s="147">
        <v>1.89</v>
      </c>
      <c r="E39" s="147">
        <v>3.4</v>
      </c>
      <c r="F39" s="290">
        <v>3.2130990000000001</v>
      </c>
      <c r="G39" s="291">
        <v>3.2666849999999998</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2.6764709999999998</v>
      </c>
      <c r="D42" s="147">
        <v>6.4826920000000001</v>
      </c>
      <c r="E42" s="147">
        <v>8.8824670000000001</v>
      </c>
      <c r="F42" s="147">
        <v>3.3049719999999998</v>
      </c>
      <c r="G42" s="147">
        <v>2.9611909999999999</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8.9354519252810096</v>
      </c>
      <c r="D45" s="147">
        <v>13.570048119137473</v>
      </c>
      <c r="E45" s="147">
        <v>9.3812780142752157</v>
      </c>
      <c r="F45" s="147">
        <v>5.6134088664592108</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0.46800000000000003</v>
      </c>
      <c r="D50" s="59"/>
      <c r="E50" s="60" t="s">
        <v>70</v>
      </c>
    </row>
    <row r="51" spans="1:5" x14ac:dyDescent="0.2">
      <c r="A51" s="60"/>
      <c r="B51" s="60"/>
      <c r="C51" s="59"/>
      <c r="D51" s="59"/>
    </row>
    <row r="52" spans="1:5" x14ac:dyDescent="0.2">
      <c r="A52" s="60"/>
      <c r="B52" s="149" t="s">
        <v>247</v>
      </c>
      <c r="C52" s="161">
        <v>3.67997</v>
      </c>
      <c r="D52" s="59"/>
      <c r="E52" s="60" t="s">
        <v>71</v>
      </c>
    </row>
    <row r="53" spans="1:5" x14ac:dyDescent="0.2">
      <c r="A53" s="60"/>
      <c r="B53" s="149" t="s">
        <v>248</v>
      </c>
      <c r="C53" s="161">
        <v>2.7260900000000001</v>
      </c>
      <c r="D53" s="59"/>
      <c r="E53" s="60" t="s">
        <v>71</v>
      </c>
    </row>
    <row r="54" spans="1:5" x14ac:dyDescent="0.2">
      <c r="A54" s="60"/>
      <c r="B54" s="149" t="s">
        <v>249</v>
      </c>
      <c r="C54" s="147">
        <v>4</v>
      </c>
      <c r="D54" s="59"/>
      <c r="E54" s="60" t="s">
        <v>72</v>
      </c>
    </row>
    <row r="55" spans="1:5" x14ac:dyDescent="0.2">
      <c r="A55" s="60"/>
      <c r="B55" s="149" t="s">
        <v>250</v>
      </c>
      <c r="C55" s="147">
        <v>2</v>
      </c>
      <c r="D55" s="59"/>
      <c r="E55" s="60" t="s">
        <v>72</v>
      </c>
    </row>
    <row r="56" spans="1:5" x14ac:dyDescent="0.2">
      <c r="A56" s="60"/>
      <c r="B56" s="149"/>
      <c r="C56" s="59"/>
      <c r="D56" s="59"/>
    </row>
    <row r="57" spans="1:5" x14ac:dyDescent="0.2">
      <c r="A57" s="60"/>
      <c r="B57" s="60" t="s">
        <v>73</v>
      </c>
      <c r="C57" s="152">
        <v>2.9751199999999998E-2</v>
      </c>
      <c r="D57" s="197"/>
      <c r="E57" s="300" t="s">
        <v>175</v>
      </c>
    </row>
    <row r="58" spans="1:5" x14ac:dyDescent="0.2">
      <c r="A58" s="60"/>
      <c r="B58" s="60" t="s">
        <v>74</v>
      </c>
      <c r="C58" s="34">
        <f>1-C57</f>
        <v>0.97024880000000002</v>
      </c>
      <c r="E58" s="300" t="s">
        <v>175</v>
      </c>
    </row>
    <row r="59" spans="1:5" x14ac:dyDescent="0.2">
      <c r="A59" s="60"/>
      <c r="B59" s="60" t="s">
        <v>251</v>
      </c>
      <c r="C59" s="152">
        <v>6.2222069999999997E-2</v>
      </c>
      <c r="E59" s="300" t="s">
        <v>176</v>
      </c>
    </row>
    <row r="60" spans="1:5" x14ac:dyDescent="0.2">
      <c r="A60" s="60"/>
      <c r="B60" s="60"/>
      <c r="C60" s="152"/>
    </row>
    <row r="61" spans="1:5" x14ac:dyDescent="0.2">
      <c r="A61" s="60"/>
      <c r="B61" s="60" t="s">
        <v>252</v>
      </c>
      <c r="C61" s="162">
        <v>2.5499999999999998</v>
      </c>
      <c r="E61" s="60" t="s">
        <v>75</v>
      </c>
    </row>
    <row r="62" spans="1:5" x14ac:dyDescent="0.2">
      <c r="A62" s="60"/>
      <c r="B62" s="60" t="s">
        <v>253</v>
      </c>
      <c r="C62" s="152">
        <v>2</v>
      </c>
      <c r="E62" s="60" t="s">
        <v>76</v>
      </c>
    </row>
    <row r="63" spans="1:5" x14ac:dyDescent="0.2">
      <c r="A63" s="60"/>
      <c r="B63" s="60"/>
      <c r="C63" s="152"/>
      <c r="E63" s="60"/>
    </row>
    <row r="64" spans="1:5" x14ac:dyDescent="0.2">
      <c r="A64" s="60"/>
      <c r="B64" s="60" t="s">
        <v>246</v>
      </c>
      <c r="C64" s="147">
        <v>46.58015478116134</v>
      </c>
      <c r="E64" s="60" t="s">
        <v>242</v>
      </c>
    </row>
    <row r="65" spans="1:7" x14ac:dyDescent="0.2">
      <c r="A65" s="60"/>
      <c r="B65" s="60"/>
      <c r="C65" s="152"/>
      <c r="E65" s="60"/>
    </row>
    <row r="66" spans="1:7" x14ac:dyDescent="0.2">
      <c r="A66" s="60"/>
      <c r="B66" s="60" t="s">
        <v>77</v>
      </c>
      <c r="C66" s="166">
        <v>0.88389265680546436</v>
      </c>
      <c r="D66" s="1"/>
      <c r="E66" s="60" t="s">
        <v>78</v>
      </c>
    </row>
    <row r="67" spans="1:7" x14ac:dyDescent="0.2">
      <c r="A67" s="60"/>
      <c r="B67" s="299" t="s">
        <v>177</v>
      </c>
      <c r="C67" s="166">
        <v>3.6370409770413496E-2</v>
      </c>
      <c r="D67" s="1"/>
      <c r="E67" s="60" t="s">
        <v>78</v>
      </c>
    </row>
    <row r="68" spans="1:7" x14ac:dyDescent="0.2">
      <c r="A68" s="60"/>
      <c r="B68" s="299" t="s">
        <v>178</v>
      </c>
      <c r="C68" s="166">
        <v>2.0225564480355208E-2</v>
      </c>
      <c r="D68" s="1"/>
      <c r="E68" s="60" t="s">
        <v>78</v>
      </c>
    </row>
    <row r="69" spans="1:7" x14ac:dyDescent="0.2">
      <c r="A69" s="60"/>
      <c r="B69" s="149" t="s">
        <v>79</v>
      </c>
      <c r="C69" s="166">
        <v>5.8231551293911978E-2</v>
      </c>
      <c r="D69" s="1"/>
      <c r="E69" s="60" t="s">
        <v>78</v>
      </c>
    </row>
    <row r="70" spans="1:7" x14ac:dyDescent="0.2">
      <c r="A70" s="60"/>
      <c r="B70" s="149" t="s">
        <v>80</v>
      </c>
      <c r="C70" s="166">
        <v>1.2798148903187885E-3</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-6.5096626281738281</v>
      </c>
      <c r="D74" s="34">
        <v>-8.9974403381347656</v>
      </c>
      <c r="E74" s="34">
        <v>-10.850093841552734</v>
      </c>
      <c r="F74" s="34">
        <v>-12.410667419433594</v>
      </c>
      <c r="G74" s="34">
        <v>-13.699718475341797</v>
      </c>
    </row>
    <row r="75" spans="1:7" x14ac:dyDescent="0.2">
      <c r="A75" s="60"/>
      <c r="B75" s="300" t="s">
        <v>180</v>
      </c>
      <c r="C75" s="34">
        <v>-2.6467475891113281</v>
      </c>
      <c r="D75" s="34">
        <v>-3.8718147277832031</v>
      </c>
      <c r="E75" s="34">
        <v>-4.4596405029296875</v>
      </c>
      <c r="F75" s="34">
        <v>-5.149200439453125</v>
      </c>
      <c r="G75" s="34">
        <v>-5.6877937316894531</v>
      </c>
    </row>
    <row r="76" spans="1:7" x14ac:dyDescent="0.2">
      <c r="A76" s="60"/>
      <c r="B76" s="300" t="s">
        <v>181</v>
      </c>
      <c r="C76" s="34">
        <v>2.6829338073730469</v>
      </c>
      <c r="D76" s="34">
        <v>3.6627159118652344</v>
      </c>
      <c r="E76" s="34">
        <v>4.4618721008300781</v>
      </c>
      <c r="F76" s="34">
        <v>5.2677116394042969</v>
      </c>
      <c r="G76" s="34">
        <v>5.9923782348632813</v>
      </c>
    </row>
    <row r="77" spans="1:7" x14ac:dyDescent="0.2">
      <c r="A77" s="60"/>
      <c r="B77" s="300" t="s">
        <v>182</v>
      </c>
      <c r="C77" s="34">
        <v>6.6452522277832031</v>
      </c>
      <c r="D77" s="34">
        <v>9.2177619934082031</v>
      </c>
      <c r="E77" s="34">
        <v>11.226490020751953</v>
      </c>
      <c r="F77" s="34">
        <v>13.039924621582031</v>
      </c>
      <c r="G77" s="34">
        <v>14.546756744384766</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SI</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-4.6923700000000004</v>
      </c>
      <c r="D12" s="1">
        <f>'Input data'!D13</f>
        <v>-3.2634059999999998</v>
      </c>
      <c r="E12" s="2">
        <f>'Input data'!E13</f>
        <v>-1.555059</v>
      </c>
      <c r="F12" s="2">
        <f>'Input data'!F13</f>
        <v>-1.244675</v>
      </c>
      <c r="G12" s="1">
        <f>F12</f>
        <v>-1.244675</v>
      </c>
      <c r="H12" s="1">
        <f t="shared" ref="H12:W12" si="0">G12</f>
        <v>-1.244675</v>
      </c>
      <c r="I12" s="1">
        <f t="shared" si="0"/>
        <v>-1.244675</v>
      </c>
      <c r="J12" s="1">
        <f t="shared" si="0"/>
        <v>-1.244675</v>
      </c>
      <c r="K12" s="1">
        <f t="shared" si="0"/>
        <v>-1.244675</v>
      </c>
      <c r="L12" s="1">
        <f t="shared" si="0"/>
        <v>-1.244675</v>
      </c>
      <c r="M12" s="1">
        <f t="shared" si="0"/>
        <v>-1.244675</v>
      </c>
      <c r="N12" s="1">
        <f t="shared" si="0"/>
        <v>-1.244675</v>
      </c>
      <c r="O12" s="1">
        <f t="shared" si="0"/>
        <v>-1.244675</v>
      </c>
      <c r="P12" s="1">
        <f t="shared" si="0"/>
        <v>-1.244675</v>
      </c>
      <c r="Q12" s="1">
        <f t="shared" si="0"/>
        <v>-1.244675</v>
      </c>
      <c r="R12" s="1">
        <f t="shared" si="0"/>
        <v>-1.244675</v>
      </c>
      <c r="S12" s="1">
        <f t="shared" si="0"/>
        <v>-1.244675</v>
      </c>
      <c r="T12" s="1">
        <f t="shared" si="0"/>
        <v>-1.244675</v>
      </c>
      <c r="U12" s="1">
        <f t="shared" si="0"/>
        <v>-1.244675</v>
      </c>
      <c r="V12" s="1">
        <f t="shared" si="0"/>
        <v>-1.244675</v>
      </c>
      <c r="W12" s="1">
        <f t="shared" si="0"/>
        <v>-1.244675</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1">
        <f>'Input data'!D14</f>
        <v>0</v>
      </c>
      <c r="E13" s="2">
        <f>'Input data'!E14</f>
        <v>-0.40577220000000003</v>
      </c>
      <c r="F13" s="2">
        <f>'Input data'!F14</f>
        <v>-0.65215420000000002</v>
      </c>
      <c r="G13" s="2">
        <f>'Input data'!G14</f>
        <v>-0.47665220000000003</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-1.7974220000000001</v>
      </c>
      <c r="D14" s="1">
        <f>'Input data'!D15</f>
        <v>1.3303780000000001</v>
      </c>
      <c r="E14" s="2">
        <f>'Input data'!E15</f>
        <v>1.2366839999999999</v>
      </c>
      <c r="F14" s="2">
        <f>'Input data'!F15</f>
        <v>-0.20000760000000001</v>
      </c>
      <c r="G14" s="2">
        <f>'Input data'!G15</f>
        <v>-0.2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22.025169999999999</v>
      </c>
      <c r="E17" s="101">
        <f>'Input data'!E20</f>
        <v>22.097189999999998</v>
      </c>
      <c r="F17" s="101">
        <f>'Input data'!F20</f>
        <v>22.199599999999997</v>
      </c>
      <c r="G17" s="101">
        <f>'Input data'!G20</f>
        <v>22.362199999999998</v>
      </c>
      <c r="H17" s="101">
        <f>'Input data'!H20</f>
        <v>22.526659999999996</v>
      </c>
      <c r="I17" s="101">
        <f>'Input data'!I20</f>
        <v>22.697230000000001</v>
      </c>
      <c r="J17" s="101">
        <f>'Input data'!J20</f>
        <v>22.903919999999999</v>
      </c>
      <c r="K17" s="101">
        <f>'Input data'!K20</f>
        <v>23.074540000000002</v>
      </c>
      <c r="L17" s="101">
        <f>'Input data'!L20</f>
        <v>23.2395</v>
      </c>
      <c r="M17" s="101">
        <f>'Input data'!M20</f>
        <v>23.397020000000001</v>
      </c>
      <c r="N17" s="101">
        <f>'Input data'!N20</f>
        <v>23.54317</v>
      </c>
      <c r="O17" s="101">
        <f>'Input data'!O20</f>
        <v>23.73443</v>
      </c>
      <c r="P17" s="101">
        <f>'Input data'!P20</f>
        <v>23.866290000000003</v>
      </c>
      <c r="Q17" s="101">
        <f>'Input data'!Q20</f>
        <v>24.047149999999998</v>
      </c>
      <c r="R17" s="101">
        <f>'Input data'!R20</f>
        <v>24.20204</v>
      </c>
      <c r="S17" s="101">
        <f>'Input data'!S20</f>
        <v>24.33447</v>
      </c>
      <c r="T17" s="101">
        <f>'Input data'!T20</f>
        <v>24.513950000000001</v>
      </c>
      <c r="U17" s="101">
        <f>'Input data'!U20</f>
        <v>24.71762</v>
      </c>
      <c r="V17" s="101">
        <f>'Input data'!V20</f>
        <v>24.860289999999999</v>
      </c>
      <c r="W17" s="101">
        <f>'Input data'!W20</f>
        <v>25.002420000000001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0.60368690000000003</v>
      </c>
      <c r="D18" s="1">
        <f>'Input data'!D26</f>
        <v>0.70882940000000005</v>
      </c>
      <c r="E18" s="101">
        <f>'Input data'!E26</f>
        <v>0.70974680000000001</v>
      </c>
      <c r="F18" s="101">
        <f>'Input data'!F26</f>
        <v>0.71066430000000003</v>
      </c>
      <c r="G18" s="101">
        <f>'Input data'!G26</f>
        <v>0.71158169999999998</v>
      </c>
      <c r="H18" s="101">
        <f>'Input data'!H26</f>
        <v>0.71249910000000005</v>
      </c>
      <c r="I18" s="101">
        <f>'Input data'!I26</f>
        <v>0.71341659999999996</v>
      </c>
      <c r="J18" s="101">
        <f>'Input data'!J26</f>
        <v>0.71433409999999997</v>
      </c>
      <c r="K18" s="101">
        <f>'Input data'!K26</f>
        <v>0.71525159999999999</v>
      </c>
      <c r="L18" s="101">
        <f>'Input data'!L26</f>
        <v>0.71616900000000006</v>
      </c>
      <c r="M18" s="101">
        <f>'Input data'!M26</f>
        <v>0.71708649999999996</v>
      </c>
      <c r="N18" s="101">
        <f>'Input data'!N26</f>
        <v>0.71800399999999998</v>
      </c>
      <c r="O18" s="101">
        <f>'Input data'!O26</f>
        <v>0.71892140000000004</v>
      </c>
      <c r="P18" s="101">
        <f>'Input data'!P26</f>
        <v>0.71983889999999995</v>
      </c>
      <c r="Q18" s="101">
        <f>'Input data'!Q26</f>
        <v>0.72075639999999996</v>
      </c>
      <c r="R18" s="101">
        <f>'Input data'!R26</f>
        <v>0.72167380000000003</v>
      </c>
      <c r="S18" s="101">
        <f>'Input data'!S26</f>
        <v>0.72259130000000005</v>
      </c>
      <c r="T18" s="101">
        <f>'Input data'!T26</f>
        <v>0.7235087</v>
      </c>
      <c r="U18" s="101">
        <f>'Input data'!U26</f>
        <v>0.72442620000000002</v>
      </c>
      <c r="V18" s="101">
        <f>'Input data'!V26</f>
        <v>0.72534370000000004</v>
      </c>
      <c r="W18" s="101">
        <f>'Input data'!W26</f>
        <v>0.72626109999999999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47.094990000000003</v>
      </c>
      <c r="D22" s="34">
        <f>C22*(D23/100+1)</f>
        <v>48.253899746320805</v>
      </c>
      <c r="E22" s="100">
        <f t="shared" ref="E22:F22" si="1">D22*(E23/100+1)</f>
        <v>49.019639433778181</v>
      </c>
      <c r="F22" s="100">
        <f t="shared" si="1"/>
        <v>50.16839360546382</v>
      </c>
      <c r="G22" s="100">
        <f>F22*(G23/100+1)</f>
        <v>51.680963147409507</v>
      </c>
      <c r="H22" s="34">
        <f>IF(AND(H49&gt;1,G49&gt;1),IF(AND(H49&gt;0,G49&gt;0),H26*(H50/100+1),0)+IF(H49&gt;0,G22*(1+H51/100),0)-G22*(1+'Input data'!H30/100),IF(H49=1,H26,G22*(1+H51/100)))</f>
        <v>52.754674434328933</v>
      </c>
      <c r="I22" s="34">
        <f>IF(AND(I49&gt;1,H49&gt;1),IF(AND(I49&gt;0,H49&gt;0),I26*(I50/100+1),0)+IF(I49&gt;0,H22*(1+I51/100),0)-H22*(1+'Input data'!I30/100),IF(I49=1,I26,H22*(1+I51/100)))</f>
        <v>53.703336422437737</v>
      </c>
      <c r="J22" s="34">
        <f>IF(AND(J49&gt;1,I49&gt;1),IF(AND(J49&gt;0,I49&gt;0),J26*(J50/100+1),0)+IF(J49&gt;0,I22*(1+J51/100),0)-I22*(1+'Input data'!J30/100),IF(J49=1,J26,I22*(1+J51/100)))</f>
        <v>54.784559120464777</v>
      </c>
      <c r="K22" s="34">
        <f>IF(AND(K49&gt;1,J49&gt;1),IF(AND(K49&gt;0,J49&gt;0),K26*(K50/100+1),0)+IF(K49&gt;0,J22*(1+K51/100),0)-J22*(1+'Input data'!K30/100),IF(K49=1,K26,J22*(1+K51/100)))</f>
        <v>56.048059242379196</v>
      </c>
      <c r="L22" s="34">
        <f>IF(AND(L49&gt;1,K49&gt;1),IF(AND(L49&gt;0,K49&gt;0),L26*(L50/100+1),0)+IF(L49&gt;0,K22*(1+L51/100),0)-K22*(1+'Input data'!L30/100),IF(L49=1,L26,K22*(1+L51/100)))</f>
        <v>57.339505732388474</v>
      </c>
      <c r="M22" s="34">
        <f>IF(AND(M49&gt;1,L49&gt;1),IF(AND(M49&gt;0,L49&gt;0),M26*(M50/100+1),0)+IF(M49&gt;0,L22*(1+M51/100),0)-L22*(1+'Input data'!M30/100),IF(M49=1,M26,L22*(1+M51/100)))</f>
        <v>58.648087863386039</v>
      </c>
      <c r="N22" s="34">
        <f>IF(AND(N49&gt;1,M49&gt;1),IF(AND(N49&gt;0,M49&gt;0),N26*(N50/100+1),0)+IF(N49&gt;0,M22*(1+N51/100),0)-M22*(1+'Input data'!N30/100),IF(N49=1,N26,M22*(1+N51/100)))</f>
        <v>59.979992976534078</v>
      </c>
      <c r="O22" s="34">
        <f>IF(AND(O49&gt;1,N49&gt;1),IF(AND(O49&gt;0,N49&gt;0),O26*(O50/100+1),0)+IF(O49&gt;0,N22*(1+O51/100),0)-N22*(1+'Input data'!O30/100),IF(O49=1,O26,N22*(1+O51/100)))</f>
        <v>61.34827157131302</v>
      </c>
      <c r="P22" s="34">
        <f>IF(AND(P49&gt;1,O49&gt;1),IF(AND(P49&gt;0,O49&gt;0),P26*(P50/100+1),0)+IF(P49&gt;0,O22*(1+P51/100),0)-O22*(1+'Input data'!P30/100),IF(P49=1,P26,O22*(1+P51/100)))</f>
        <v>62.67635061046041</v>
      </c>
      <c r="Q22" s="34">
        <f>IF(AND(Q49&gt;1,P49&gt;1),IF(AND(Q49&gt;0,P49&gt;0),Q26*(Q50/100+1),0)+IF(Q49&gt;0,P22*(1+Q51/100),0)-P22*(1+'Input data'!Q30/100),IF(Q49=1,Q26,P22*(1+Q51/100)))</f>
        <v>63.960221124290662</v>
      </c>
      <c r="R22" s="34">
        <f>IF(AND(R49&gt;1,Q49&gt;1),IF(AND(R49&gt;0,Q49&gt;0),R26*(R50/100+1),0)+IF(R49&gt;0,Q22*(1+R51/100),0)-Q22*(1+'Input data'!R30/100),IF(R49=1,R26,Q22*(1+R51/100)))</f>
        <v>65.195935154820802</v>
      </c>
      <c r="S22" s="34">
        <f>IF(AND(S49&gt;1,R49&gt;1),IF(AND(S49&gt;0,R49&gt;0),S26*(S50/100+1),0)+IF(S49&gt;0,R22*(1+S51/100),0)-R22*(1+'Input data'!S30/100),IF(S49=1,S26,R22*(1+S51/100)))</f>
        <v>66.419163456813507</v>
      </c>
      <c r="T22" s="34">
        <f>IF(AND(T49&gt;1,S49&gt;1),IF(AND(T49&gt;0,S49&gt;0),T26*(T50/100+1),0)+IF(T49&gt;0,S22*(1+T51/100),0)-S22*(1+'Input data'!T30/100),IF(T49=1,T26,S22*(1+T51/100)))</f>
        <v>67.598973035021601</v>
      </c>
      <c r="U22" s="34">
        <f>IF(AND(U49&gt;1,T49&gt;1),IF(AND(U49&gt;0,T49&gt;0),U26*(U50/100+1),0)+IF(U49&gt;0,T22*(1+U51/100),0)-T22*(1+'Input data'!U30/100),IF(U49=1,U26,T22*(1+U51/100)))</f>
        <v>68.724965072927574</v>
      </c>
      <c r="V22" s="34">
        <f>IF(AND(V49&gt;1,U49&gt;1),IF(AND(V49&gt;0,U49&gt;0),V26*(V50/100+1),0)+IF(V49&gt;0,U22*(1+V51/100),0)-U22*(1+'Input data'!V30/100),IF(V49=1,V26,U22*(1+V51/100)))</f>
        <v>69.781018314475247</v>
      </c>
      <c r="W22" s="34">
        <f>IF(AND(W49&gt;1,V49&gt;1),IF(AND(W49&gt;0,V49&gt;0),W26*(W50/100+1),0)+IF(W49&gt;0,V22*(1+W51/100),0)-V22*(1+'Input data'!W30/100),IF(W49=1,W26,V22*(1+W51/100)))</f>
        <v>70.789837611576331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8.228491</v>
      </c>
      <c r="D23" s="34">
        <f>+'Input data'!D30</f>
        <v>2.4607920000000001</v>
      </c>
      <c r="E23" s="100">
        <f>+'Input data'!E30</f>
        <v>1.586897</v>
      </c>
      <c r="F23" s="100">
        <f>+'Input data'!F30</f>
        <v>2.3434569999999999</v>
      </c>
      <c r="G23" s="100">
        <f>+'Input data'!G30</f>
        <v>3.0149849999999998</v>
      </c>
      <c r="H23" s="34">
        <f>100*(H22/G22-1)</f>
        <v>2.0775760000000032</v>
      </c>
      <c r="I23" s="34">
        <f>100*(I22/H22-1)</f>
        <v>1.7982519999999891</v>
      </c>
      <c r="J23" s="34">
        <f t="shared" ref="J23:T23" si="2">100*(J22/I22-1)</f>
        <v>2.0133249999999991</v>
      </c>
      <c r="K23" s="34">
        <f t="shared" si="2"/>
        <v>2.3063070000000074</v>
      </c>
      <c r="L23" s="34">
        <f t="shared" si="2"/>
        <v>2.3041770000000072</v>
      </c>
      <c r="M23" s="34">
        <f t="shared" si="2"/>
        <v>2.2821650000000027</v>
      </c>
      <c r="N23" s="34">
        <f t="shared" si="2"/>
        <v>2.2710119999999945</v>
      </c>
      <c r="O23" s="34">
        <f t="shared" si="2"/>
        <v>2.2812250000000089</v>
      </c>
      <c r="P23" s="34">
        <f t="shared" si="2"/>
        <v>2.1648190000000067</v>
      </c>
      <c r="Q23" s="34">
        <f t="shared" si="2"/>
        <v>2.0484130000000045</v>
      </c>
      <c r="R23" s="34">
        <f t="shared" si="2"/>
        <v>1.9320039999999983</v>
      </c>
      <c r="S23" s="34">
        <f t="shared" si="2"/>
        <v>1.8762340000000099</v>
      </c>
      <c r="T23" s="34">
        <f t="shared" si="2"/>
        <v>1.7763090000000092</v>
      </c>
      <c r="U23" s="34">
        <f t="shared" ref="U23" si="3">100*(U22/T22-1)</f>
        <v>1.6656940000000064</v>
      </c>
      <c r="V23" s="34">
        <f t="shared" ref="V23" si="4">100*(V22/U22-1)</f>
        <v>1.5366369999999963</v>
      </c>
      <c r="W23" s="34">
        <f t="shared" ref="W23" si="5">100*(W22/V22-1)</f>
        <v>1.4456929999999923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45.770859999999999</v>
      </c>
      <c r="D26" s="34">
        <f>+C26*(1+'Input data'!D33/100)</f>
        <v>46.850570786552801</v>
      </c>
      <c r="E26" s="100">
        <f>+D26*(1+'Input data'!E33/100)</f>
        <v>48.25044991246093</v>
      </c>
      <c r="F26" s="100">
        <f>+E26*(1+'Input data'!F33/100)</f>
        <v>49.629799034234424</v>
      </c>
      <c r="G26" s="100">
        <f>+F26*(1+'Input data'!G33/100)</f>
        <v>51.057412114605945</v>
      </c>
      <c r="H26" s="34">
        <f>+G26*(1+'Input data'!H33/100)</f>
        <v>52.328620670192919</v>
      </c>
      <c r="I26" s="34">
        <f>+H26*(1+'Input data'!I33/100)</f>
        <v>53.55798375831845</v>
      </c>
      <c r="J26" s="34">
        <f>+I26*(1+'Input data'!J33/100)</f>
        <v>54.784555312855517</v>
      </c>
      <c r="K26" s="34">
        <f>+J26*(1+'Input data'!K33/100)</f>
        <v>56.04805370341812</v>
      </c>
      <c r="L26" s="34">
        <f>+K26*(1+'Input data'!L33/100)</f>
        <v>57.339501186760998</v>
      </c>
      <c r="M26" s="34">
        <f>+L26*(1+'Input data'!M33/100)</f>
        <v>58.648082640624835</v>
      </c>
      <c r="N26" s="34">
        <f>+M26*(1+'Input data'!N33/100)</f>
        <v>59.979985875720857</v>
      </c>
      <c r="O26" s="34">
        <f>+N26*(1+'Input data'!O33/100)</f>
        <v>61.348264308514274</v>
      </c>
      <c r="P26" s="34">
        <f>+O26*(1+'Input data'!P33/100)</f>
        <v>62.676343190435212</v>
      </c>
      <c r="Q26" s="34">
        <f>+P26*(1+'Input data'!Q33/100)</f>
        <v>63.960214179036136</v>
      </c>
      <c r="R26" s="34">
        <f>+Q26*(1+'Input data'!R33/100)</f>
        <v>65.195930633792244</v>
      </c>
      <c r="S26" s="34">
        <f>+R26*(1+'Input data'!S33/100)</f>
        <v>66.419158850959874</v>
      </c>
      <c r="T26" s="34">
        <f>+S26*(1+'Input data'!T33/100)</f>
        <v>67.598969675736953</v>
      </c>
      <c r="U26" s="34">
        <f>+T26*(1+'Input data'!U33/100)</f>
        <v>68.724963009666908</v>
      </c>
      <c r="V26" s="34">
        <f>+U26*(1+'Input data'!V33/100)</f>
        <v>69.781012783261616</v>
      </c>
      <c r="W26" s="34">
        <f>+V26*(1+'Input data'!W33/100)</f>
        <v>70.789835489448976</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2.8929541634131528</v>
      </c>
      <c r="D29" s="34">
        <f t="shared" si="6"/>
        <v>2.9953294830951993</v>
      </c>
      <c r="E29" s="100">
        <f t="shared" si="6"/>
        <v>1.5941603087904044</v>
      </c>
      <c r="F29" s="100">
        <f t="shared" si="6"/>
        <v>1.0852241631239989</v>
      </c>
      <c r="G29" s="100">
        <f t="shared" si="6"/>
        <v>1.2212742616173111</v>
      </c>
      <c r="H29" s="34">
        <f>100*(H22/H26-1)</f>
        <v>0.81418879129504518</v>
      </c>
      <c r="I29" s="34">
        <f t="shared" si="6"/>
        <v>0.27139308450294664</v>
      </c>
      <c r="J29" s="34">
        <f t="shared" si="6"/>
        <v>6.9501508992431127E-6</v>
      </c>
      <c r="K29" s="34">
        <f t="shared" si="6"/>
        <v>9.8825217120790398E-6</v>
      </c>
      <c r="L29" s="34">
        <f t="shared" si="6"/>
        <v>7.9275671804879266E-6</v>
      </c>
      <c r="M29" s="34">
        <f t="shared" si="6"/>
        <v>8.9052548224444195E-6</v>
      </c>
      <c r="N29" s="34">
        <f t="shared" si="6"/>
        <v>1.1838637692385134E-5</v>
      </c>
      <c r="O29" s="34">
        <f t="shared" si="6"/>
        <v>1.1838637692385134E-5</v>
      </c>
      <c r="P29" s="34">
        <f t="shared" si="6"/>
        <v>1.1838637714589595E-5</v>
      </c>
      <c r="Q29" s="34">
        <f t="shared" si="6"/>
        <v>1.0858710552952289E-5</v>
      </c>
      <c r="R29" s="34">
        <f t="shared" si="6"/>
        <v>6.9345256870079197E-6</v>
      </c>
      <c r="S29" s="34">
        <f t="shared" si="6"/>
        <v>6.9345256870079197E-6</v>
      </c>
      <c r="T29" s="34">
        <f t="shared" si="6"/>
        <v>4.9694317327819704E-6</v>
      </c>
      <c r="U29" s="34">
        <f t="shared" ref="U29:W29" si="7">100*(U22/U26-1)</f>
        <v>3.0021997554641189E-6</v>
      </c>
      <c r="V29" s="34">
        <f t="shared" si="7"/>
        <v>7.9265310315435045E-6</v>
      </c>
      <c r="W29" s="34">
        <f t="shared" si="7"/>
        <v>2.9977853976959068E-6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11.125195175352598</v>
      </c>
      <c r="D32" s="1">
        <f t="shared" si="8"/>
        <v>9.1030095661206456</v>
      </c>
      <c r="E32" s="2">
        <f t="shared" si="8"/>
        <v>10.610319602348994</v>
      </c>
      <c r="F32" s="2">
        <f t="shared" si="8"/>
        <v>5.7258795976820487</v>
      </c>
      <c r="G32" s="2">
        <f>100*((1+G23/100)*(1+G41/100)-1)</f>
        <v>6.0654554644713476</v>
      </c>
      <c r="H32" s="1">
        <f>100*((1+H23/100)*(1+H41/100)-1)</f>
        <v>5.0478212678388923</v>
      </c>
      <c r="I32" s="1">
        <f t="shared" si="8"/>
        <v>4.7080463637859671</v>
      </c>
      <c r="J32" s="1">
        <f t="shared" si="8"/>
        <v>4.8768332945004822</v>
      </c>
      <c r="K32" s="1">
        <f t="shared" si="8"/>
        <v>5.125454991908196</v>
      </c>
      <c r="L32" s="1">
        <f t="shared" si="8"/>
        <v>5.0706831016680498</v>
      </c>
      <c r="M32" s="1">
        <f t="shared" si="8"/>
        <v>4.9955039717712868</v>
      </c>
      <c r="N32" s="1">
        <f t="shared" si="8"/>
        <v>4.9314889556191011</v>
      </c>
      <c r="O32" s="1">
        <f t="shared" si="8"/>
        <v>4.8893962375000211</v>
      </c>
      <c r="P32" s="1">
        <f t="shared" si="8"/>
        <v>4.7419265592750115</v>
      </c>
      <c r="Q32" s="1">
        <f t="shared" si="8"/>
        <v>4.5945209043499968</v>
      </c>
      <c r="R32" s="1">
        <f t="shared" si="8"/>
        <v>4.4471761987000091</v>
      </c>
      <c r="S32" s="1">
        <f t="shared" si="8"/>
        <v>4.3620141095999987</v>
      </c>
      <c r="T32" s="1">
        <f t="shared" si="8"/>
        <v>4.231662454625007</v>
      </c>
      <c r="U32" s="1">
        <f t="shared" si="8"/>
        <v>4.0904208019000077</v>
      </c>
      <c r="V32" s="1">
        <f t="shared" si="8"/>
        <v>3.9303632172749792</v>
      </c>
      <c r="W32" s="1">
        <f t="shared" si="8"/>
        <v>3.8093776468999918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1.7379089999999999</v>
      </c>
      <c r="D35" s="1">
        <f>'Input data'!D37</f>
        <v>1.6448419999999999</v>
      </c>
      <c r="E35" s="2">
        <f>'Input data'!E37</f>
        <v>1.8992169999999999</v>
      </c>
      <c r="F35" s="2">
        <f>'Input data'!F37</f>
        <v>2.1593610000000001</v>
      </c>
      <c r="G35" s="2">
        <f>'Input data'!G37</f>
        <v>2.1774469999999999</v>
      </c>
      <c r="H35" s="1">
        <f>H96</f>
        <v>2.2821744286427554</v>
      </c>
      <c r="I35" s="1">
        <f t="shared" ref="I35:W35" si="9">I96</f>
        <v>2.3831312593714915</v>
      </c>
      <c r="J35" s="1">
        <f t="shared" si="9"/>
        <v>2.4869293334690474</v>
      </c>
      <c r="K35" s="1">
        <f t="shared" si="9"/>
        <v>2.5911343364407031</v>
      </c>
      <c r="L35" s="1">
        <f t="shared" si="9"/>
        <v>2.6929122077564425</v>
      </c>
      <c r="M35" s="1">
        <f t="shared" si="9"/>
        <v>2.7919120350458329</v>
      </c>
      <c r="N35" s="1">
        <f t="shared" si="9"/>
        <v>2.8878587962002942</v>
      </c>
      <c r="O35" s="1">
        <f t="shared" si="9"/>
        <v>2.9805451534838743</v>
      </c>
      <c r="P35" s="1">
        <f t="shared" si="9"/>
        <v>3.0654232340731533</v>
      </c>
      <c r="Q35" s="1">
        <f t="shared" si="9"/>
        <v>3.142438306408883</v>
      </c>
      <c r="R35" s="1">
        <f t="shared" si="9"/>
        <v>3.2125664343621496</v>
      </c>
      <c r="S35" s="1">
        <f t="shared" si="9"/>
        <v>3.2761896403861943</v>
      </c>
      <c r="T35" s="1">
        <f>T96</f>
        <v>3.3338118536334638</v>
      </c>
      <c r="U35" s="1">
        <f t="shared" si="9"/>
        <v>3.3862620676684179</v>
      </c>
      <c r="V35" s="1">
        <f t="shared" si="9"/>
        <v>3.4341326427138559</v>
      </c>
      <c r="W35" s="1">
        <f t="shared" si="9"/>
        <v>3.4776692382758161</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3.4</v>
      </c>
      <c r="F36" s="166">
        <f>'Input data'!F39</f>
        <v>3.2130990000000001</v>
      </c>
      <c r="G36" s="166">
        <f>'Input data'!G39</f>
        <v>3.2666849999999998</v>
      </c>
      <c r="H36" s="1">
        <f>G36+($O$36-$G$36)/($O$10-$G$10)</f>
        <v>3.3183456250000001</v>
      </c>
      <c r="I36" s="1">
        <f t="shared" ref="I36:M36" si="10">H36+($O$36-$G$36)/($O$10-$G$10)</f>
        <v>3.3700062500000003</v>
      </c>
      <c r="J36" s="1">
        <f t="shared" si="10"/>
        <v>3.4216668750000006</v>
      </c>
      <c r="K36" s="1">
        <f t="shared" si="10"/>
        <v>3.4733275000000008</v>
      </c>
      <c r="L36" s="1">
        <f t="shared" si="10"/>
        <v>3.524988125000001</v>
      </c>
      <c r="M36" s="1">
        <f t="shared" si="10"/>
        <v>3.5766487500000013</v>
      </c>
      <c r="N36" s="1">
        <f>M36+($O$36-$G$36)/($O$10-$G$10)</f>
        <v>3.6283093750000015</v>
      </c>
      <c r="O36" s="252">
        <f>'Input data'!$C$52</f>
        <v>3.67997</v>
      </c>
      <c r="P36" s="1">
        <f>$O$36+('Input data'!$C$54-'Input data'!$C$52)/20*('Baseline NFPC'!P$10-2033)</f>
        <v>3.6959714999999997</v>
      </c>
      <c r="Q36" s="1">
        <f>$O$36+('Input data'!$C$54-'Input data'!$C$52)/20*('Baseline NFPC'!Q$10-2033)</f>
        <v>3.711973</v>
      </c>
      <c r="R36" s="1">
        <f>$O$36+('Input data'!$C$54-'Input data'!$C$52)/20*('Baseline NFPC'!R$10-2033)</f>
        <v>3.7279745000000002</v>
      </c>
      <c r="S36" s="1">
        <f>$O$36+('Input data'!$C$54-'Input data'!$C$52)/20*('Baseline NFPC'!S$10-2033)</f>
        <v>3.743976</v>
      </c>
      <c r="T36" s="1">
        <f>$O$36+('Input data'!$C$54-'Input data'!$C$52)/20*('Baseline NFPC'!T$10-2033)</f>
        <v>3.7599774999999998</v>
      </c>
      <c r="U36" s="1">
        <f>$O$36+('Input data'!$C$54-'Input data'!$C$52)/20*('Baseline NFPC'!U$10-2033)</f>
        <v>3.775979</v>
      </c>
      <c r="V36" s="1">
        <f>$O$36+('Input data'!$C$54-'Input data'!$C$52)/20*('Baseline NFPC'!V$10-2033)</f>
        <v>3.7919805000000002</v>
      </c>
      <c r="W36" s="1">
        <f>$O$36+('Input data'!$C$54-'Input data'!$C$52)/20*('Baseline NFPC'!W$10-2033)</f>
        <v>3.807982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3.43</v>
      </c>
      <c r="F37" s="166">
        <f>'Input data'!F$38</f>
        <v>3.5642079999999998</v>
      </c>
      <c r="G37" s="166">
        <f>'Input data'!G$38</f>
        <v>2.8163749999999999</v>
      </c>
      <c r="H37" s="1">
        <f>G37+($O$37-$G$37)/($O$10-$G$10)</f>
        <v>2.8050893749999997</v>
      </c>
      <c r="I37" s="1">
        <f t="shared" ref="I37:N37" si="11">H37+($O$37-$G$37)/($O$10-$G$10)</f>
        <v>2.7938037499999995</v>
      </c>
      <c r="J37" s="1">
        <f t="shared" si="11"/>
        <v>2.7825181249999993</v>
      </c>
      <c r="K37" s="1">
        <f t="shared" si="11"/>
        <v>2.7712324999999991</v>
      </c>
      <c r="L37" s="1">
        <f t="shared" si="11"/>
        <v>2.7599468749999989</v>
      </c>
      <c r="M37" s="1">
        <f t="shared" si="11"/>
        <v>2.7486612499999987</v>
      </c>
      <c r="N37" s="1">
        <f t="shared" si="11"/>
        <v>2.7373756249999985</v>
      </c>
      <c r="O37" s="252">
        <f>'Input data'!$C$53</f>
        <v>2.7260900000000001</v>
      </c>
      <c r="P37" s="1">
        <f>$O$37+('Input data'!$C$55-'Input data'!$C$53)/20*('Baseline NFPC'!P$10-2033)</f>
        <v>2.6897855000000002</v>
      </c>
      <c r="Q37" s="1">
        <f>$O$37+('Input data'!$C$55-'Input data'!$C$53)/20*('Baseline NFPC'!Q$10-2033)</f>
        <v>2.6534810000000002</v>
      </c>
      <c r="R37" s="1">
        <f>$O$37+('Input data'!$C$55-'Input data'!$C$53)/20*('Baseline NFPC'!R$10-2033)</f>
        <v>2.6171765000000002</v>
      </c>
      <c r="S37" s="1">
        <f>$O$37+('Input data'!$C$55-'Input data'!$C$53)/20*('Baseline NFPC'!S$10-2033)</f>
        <v>2.5808720000000003</v>
      </c>
      <c r="T37" s="1">
        <f>$O$37+('Input data'!$C$55-'Input data'!$C$53)/20*('Baseline NFPC'!T$10-2033)</f>
        <v>2.5445675000000003</v>
      </c>
      <c r="U37" s="1">
        <f>$O$37+('Input data'!$C$55-'Input data'!$C$53)/20*('Baseline NFPC'!U$10-2033)</f>
        <v>2.5082629999999999</v>
      </c>
      <c r="V37" s="1">
        <f>$O$37+('Input data'!$C$55-'Input data'!$C$53)/20*('Baseline NFPC'!V$10-2033)</f>
        <v>2.4719584999999999</v>
      </c>
      <c r="W37" s="1">
        <f>$O$37+('Input data'!$C$55-'Input data'!$C$53)/20*('Baseline NFPC'!W$10-2033)</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8.9708819999999995E-2</v>
      </c>
      <c r="D38" s="1">
        <v>3.952174E-2</v>
      </c>
      <c r="E38" s="1">
        <v>3.0137259999999999E-2</v>
      </c>
      <c r="F38" s="1">
        <v>5.50765E-2</v>
      </c>
      <c r="G38" s="1">
        <f>IF(OR($C$3="EL",$C$3="CY",$C$3="IE",$C$3="PT"),VLOOKUP($C$3,$B$110:$T$114,MATCH(G$10,$B$110:$T$110,0),0),$F$38+('Input data'!$C$59-$F$38)/($O$10-$F$10)*(G10-$F$10))</f>
        <v>5.5870452222222221E-2</v>
      </c>
      <c r="H38" s="1">
        <f>IF(OR($C$3="EL",$C$3="CY",$C$3="IE",$C$3="PT"),VLOOKUP($C$3,$B$110:$T$114,MATCH(H$10,$B$110:$T$110,0),0),$F$38+('Input data'!$C$59-$F$38)/($O$10-$F$10)*(H10-$F$10))</f>
        <v>5.6664404444444441E-2</v>
      </c>
      <c r="I38" s="1">
        <f>IF(OR($C$3="EL",$C$3="CY",$C$3="IE",$C$3="PT"),VLOOKUP($C$3,$B$110:$T$114,MATCH(I$10,$B$110:$T$110,0),0),$F$38+('Input data'!$C$59-$F$38)/($O$10-$F$10)*(I10-$F$10))</f>
        <v>5.7458356666666668E-2</v>
      </c>
      <c r="J38" s="1">
        <f>IF(OR($C$3="EL",$C$3="CY",$C$3="IE",$C$3="PT"),VLOOKUP($C$3,$B$110:$T$114,MATCH(J$10,$B$110:$T$110,0),0),$F$38+('Input data'!$C$59-$F$38)/($O$10-$F$10)*(J10-$F$10))</f>
        <v>5.8252308888888889E-2</v>
      </c>
      <c r="K38" s="1">
        <f>IF(OR($C$3="EL",$C$3="CY",$C$3="IE",$C$3="PT"),VLOOKUP($C$3,$B$110:$T$114,MATCH(K$10,$B$110:$T$110,0),0),$F$38+('Input data'!$C$59-$F$38)/($O$10-$F$10)*(K10-$F$10))</f>
        <v>5.9046261111111109E-2</v>
      </c>
      <c r="L38" s="1">
        <f>IF(OR($C$3="EL",$C$3="CY",$C$3="IE",$C$3="PT"),VLOOKUP($C$3,$B$110:$T$114,MATCH(L$10,$B$110:$T$110,0),0),$F$38+('Input data'!$C$59-$F$38)/($O$10-$F$10)*(L10-$F$10))</f>
        <v>5.9840213333333329E-2</v>
      </c>
      <c r="M38" s="1">
        <f>IF(OR($C$3="EL",$C$3="CY",$C$3="IE",$C$3="PT"),VLOOKUP($C$3,$B$110:$T$114,MATCH(M$10,$B$110:$T$110,0),0),$F$38+('Input data'!$C$59-$F$38)/($O$10-$F$10)*(M10-$F$10))</f>
        <v>6.063416555555555E-2</v>
      </c>
      <c r="N38" s="1">
        <f>IF(OR($C$3="EL",$C$3="CY",$C$3="IE",$C$3="PT"),VLOOKUP($C$3,$B$110:$T$114,MATCH(N$10,$B$110:$T$110,0),0),$F$38+('Input data'!$C$59-$F$38)/($O$10-$F$10)*(N10-$F$10))</f>
        <v>6.1428117777777777E-2</v>
      </c>
      <c r="O38" s="252">
        <f>IF(OR($C$3="EL",$C$3="CY",$C$3="IE",$C$3="PT"),VLOOKUP($C$3,$B$110:$T$114,MATCH(O$10,$B$110:$T$110,0),0),'Input data'!$C$59)</f>
        <v>6.2222069999999997E-2</v>
      </c>
      <c r="P38" s="1">
        <f>IF(OR($C$3="EL",$C$3="CY",$C$3="IE",$C$3="PT"),VLOOKUP($C$3,$B$110:$T$114,MATCH(P$10,$B$110:$T$110,0),0),'Input data'!$C$59)</f>
        <v>6.2222069999999997E-2</v>
      </c>
      <c r="Q38" s="1">
        <f>IF(OR($C$3="EL",$C$3="CY",$C$3="IE",$C$3="PT"),VLOOKUP($C$3,$B$110:$T$114,MATCH(Q$10,$B$110:$T$110,0),0),'Input data'!$C$59)</f>
        <v>6.2222069999999997E-2</v>
      </c>
      <c r="R38" s="1">
        <f>IF(OR($C$3="EL",$C$3="CY",$C$3="IE",$C$3="PT"),VLOOKUP($C$3,$B$110:$T$114,MATCH(R$10,$B$110:$T$110,0),0),'Input data'!$C$59)</f>
        <v>6.2222069999999997E-2</v>
      </c>
      <c r="S38" s="1">
        <f>IF(OR($C$3="EL",$C$3="CY",$C$3="IE",$C$3="PT"),VLOOKUP($C$3,$B$110:$T$114,MATCH(S$10,$B$110:$T$110,0),0),'Input data'!$C$59)</f>
        <v>6.2222069999999997E-2</v>
      </c>
      <c r="T38" s="1">
        <f>IF(OR($C$3="EL",$C$3="CY",$C$3="IE",$C$3="PT"),VLOOKUP($C$3,$B$110:$T$114,MATCH(T$10,$B$110:$T$110,0),0),'Input data'!$C$59)</f>
        <v>6.2222069999999997E-2</v>
      </c>
      <c r="U38" s="1">
        <f>IF(OR($C$3="EL",$C$3="CY",$C$3="IE",$C$3="PT"),VLOOKUP($C$3,$B$110:$W$114,MATCH(U$10,$B$110:$W$110,0),0),'Input data'!$C$59)</f>
        <v>6.2222069999999997E-2</v>
      </c>
      <c r="V38" s="1">
        <f>IF(OR($C$3="EL",$C$3="CY",$C$3="IE",$C$3="PT"),VLOOKUP($C$3,$B$110:$W$114,MATCH(V$10,$B$110:$W$110,0),0),'Input data'!$C$59)</f>
        <v>6.2222069999999997E-2</v>
      </c>
      <c r="W38" s="1">
        <f>IF(OR($C$3="EL",$C$3="CY",$C$3="IE",$C$3="PT"),VLOOKUP($C$3,$B$110:$W$114,MATCH(W$10,$B$110:$W$110,0),0),'Input data'!$C$59)</f>
        <v>6.2222069999999997E-2</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2.6764709999999998</v>
      </c>
      <c r="D41" s="1">
        <f>'Input data'!D42</f>
        <v>6.4826920000000001</v>
      </c>
      <c r="E41" s="2">
        <f>'Input data'!E42</f>
        <v>8.8824670000000001</v>
      </c>
      <c r="F41" s="2">
        <f>'Input data'!F42</f>
        <v>3.3049719999999998</v>
      </c>
      <c r="G41" s="2">
        <f>'Input data'!G42</f>
        <v>2.9611909999999999</v>
      </c>
      <c r="H41" s="1">
        <f>$G$41+($O$41-$G$41)/($O$10-$G$10)*(H10-$G$10)</f>
        <v>2.9097921250000001</v>
      </c>
      <c r="I41" s="1">
        <f>$G$41+($O$41-$G$41)/($O$10-$G$10)*(I10-$G$10)</f>
        <v>2.8583932499999998</v>
      </c>
      <c r="J41" s="1">
        <f t="shared" ref="J41:M41" si="12">$G$41+($O$41-$G$41)/($O$10-$G$10)*(J10-$G$10)</f>
        <v>2.8069943749999999</v>
      </c>
      <c r="K41" s="1">
        <f t="shared" si="12"/>
        <v>2.7555955000000001</v>
      </c>
      <c r="L41" s="1">
        <f t="shared" si="12"/>
        <v>2.7041966249999998</v>
      </c>
      <c r="M41" s="1">
        <f t="shared" si="12"/>
        <v>2.65279775</v>
      </c>
      <c r="N41" s="1">
        <f>$G$41+($O$41-$G$41)/($O$10-$G$10)*(N10-$G$10)</f>
        <v>2.6013988749999997</v>
      </c>
      <c r="O41" s="252">
        <f>'Input data'!$C$61</f>
        <v>2.5499999999999998</v>
      </c>
      <c r="P41" s="1">
        <f>$O$41+('Input data'!$C$62-'Input data'!$C$61)/20*(P$10-2033)</f>
        <v>2.5225</v>
      </c>
      <c r="Q41" s="1">
        <f>$O$41+('Input data'!$C$62-'Input data'!$C$61)/20*(Q$10-2033)</f>
        <v>2.4949999999999997</v>
      </c>
      <c r="R41" s="1">
        <f>$O$41+('Input data'!$C$62-'Input data'!$C$61)/20*(R$10-2033)</f>
        <v>2.4674999999999998</v>
      </c>
      <c r="S41" s="1">
        <f>$O$41+('Input data'!$C$62-'Input data'!$C$61)/20*(S$10-2033)</f>
        <v>2.44</v>
      </c>
      <c r="T41" s="1">
        <f>$O$41+('Input data'!$C$62-'Input data'!$C$61)/20*(T$10-2033)</f>
        <v>2.4124999999999996</v>
      </c>
      <c r="U41" s="1">
        <f>$O$41+('Input data'!$C$62-'Input data'!$C$61)/20*(U$10-2033)</f>
        <v>2.3849999999999998</v>
      </c>
      <c r="V41" s="1">
        <f>$O$41+('Input data'!$C$62-'Input data'!$C$61)/20*(V$10-2033)</f>
        <v>2.3574999999999999</v>
      </c>
      <c r="W41" s="1">
        <f>$O$41+('Input data'!$C$62-'Input data'!$C$61)/20*(W$10-2033)</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0.99995230000000002</v>
      </c>
      <c r="D42" s="1">
        <v>1</v>
      </c>
      <c r="E42" s="1">
        <v>1</v>
      </c>
      <c r="F42" s="1">
        <v>0.99999990000000005</v>
      </c>
      <c r="G42" s="1">
        <v>1</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0.46800000000000003</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2.4607920000000001</v>
      </c>
      <c r="E51" s="34">
        <f>'Input data'!E30-$C$46*((E12-D12)-('Input data'!E13-'Input data'!D13))</f>
        <v>1.586897</v>
      </c>
      <c r="F51" s="34">
        <f>'Input data'!F30-$C$46*((F12-E12)-('Input data'!F13-'Input data'!E13))</f>
        <v>2.3434569999999999</v>
      </c>
      <c r="G51" s="34">
        <f>'Input data'!G30-$C$46*((G12-F12)-('Input data'!G13-'Input data'!F13))</f>
        <v>3.94849125</v>
      </c>
      <c r="H51" s="34">
        <f>'Input data'!H30-$C$46*((H12-G12))</f>
        <v>2.0775760000000001</v>
      </c>
      <c r="I51" s="34">
        <f>'Input data'!I30-$C$46*((I12-H12))</f>
        <v>1.798252</v>
      </c>
      <c r="J51" s="34">
        <f>'Input data'!J30-$C$46*((J12-I12))</f>
        <v>2.013325</v>
      </c>
      <c r="K51" s="34">
        <f>'Input data'!K30-$C$46*((K12-J12))</f>
        <v>2.3063069999999999</v>
      </c>
      <c r="L51" s="34">
        <f>'Input data'!L30-$C$46*((L12-K12))</f>
        <v>2.3041770000000001</v>
      </c>
      <c r="M51" s="34">
        <f>'Input data'!M30-$C$46*((M12-L12))</f>
        <v>2.282165</v>
      </c>
      <c r="N51" s="34">
        <f>'Input data'!N30-$C$46*((N12-M12))</f>
        <v>2.2710119999999998</v>
      </c>
      <c r="O51" s="34">
        <f>'Input data'!O30-$C$46*((O12-N12))</f>
        <v>2.2812250000000001</v>
      </c>
      <c r="P51" s="34">
        <f>'Input data'!P30-$C$46*((P12-O12))</f>
        <v>2.164819</v>
      </c>
      <c r="Q51" s="34">
        <f>'Input data'!Q30-$C$46*((Q12-P12))</f>
        <v>2.048413</v>
      </c>
      <c r="R51" s="34">
        <f>'Input data'!R30-$C$46*((R12-Q12))</f>
        <v>1.9320040000000001</v>
      </c>
      <c r="S51" s="34">
        <f>'Input data'!S30-$C$46*((S12-R12))</f>
        <v>1.876234</v>
      </c>
      <c r="T51" s="34">
        <f>'Input data'!T30-$C$46*((T12-S12))</f>
        <v>1.7763089999999999</v>
      </c>
      <c r="U51" s="34">
        <f>'Input data'!U30-$C$46*((U12-T12))</f>
        <v>1.665694</v>
      </c>
      <c r="V51" s="34">
        <f>'Input data'!V30-$C$46*((V12-U12))</f>
        <v>1.536637</v>
      </c>
      <c r="W51" s="34">
        <f>'Input data'!W30-$C$46*((W12-V12))</f>
        <v>1.4456929999999999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74.367679999999993</v>
      </c>
      <c r="D56" s="45">
        <f>+C56+D57</f>
        <v>72.475954801911442</v>
      </c>
      <c r="E56" s="45">
        <f t="shared" ref="E56:T56" si="14">+D56+E57</f>
        <v>69.219569977397526</v>
      </c>
      <c r="F56" s="45">
        <f>+E56+F57</f>
        <v>68.073476569055501</v>
      </c>
      <c r="G56" s="45">
        <f>+F56+G57</f>
        <v>66.689580514618598</v>
      </c>
      <c r="H56" s="45">
        <f t="shared" si="14"/>
        <v>66.122670223115591</v>
      </c>
      <c r="I56" s="45">
        <f t="shared" si="14"/>
        <v>66.267037308310904</v>
      </c>
      <c r="J56" s="45">
        <f t="shared" si="14"/>
        <v>66.702284532996515</v>
      </c>
      <c r="K56" s="45">
        <f t="shared" si="14"/>
        <v>67.209276732182715</v>
      </c>
      <c r="L56" s="45">
        <f t="shared" si="14"/>
        <v>67.967383742328664</v>
      </c>
      <c r="M56" s="45">
        <f t="shared" si="14"/>
        <v>68.976587687046333</v>
      </c>
      <c r="N56" s="45">
        <f t="shared" si="14"/>
        <v>70.21410962648298</v>
      </c>
      <c r="O56" s="45">
        <f t="shared" si="14"/>
        <v>71.707546182158737</v>
      </c>
      <c r="P56" s="45">
        <f t="shared" si="14"/>
        <v>73.461977285701394</v>
      </c>
      <c r="Q56" s="45">
        <f t="shared" si="14"/>
        <v>75.524234675578782</v>
      </c>
      <c r="R56" s="45">
        <f>+Q56+R57</f>
        <v>77.867608558156135</v>
      </c>
      <c r="S56" s="45">
        <f t="shared" si="14"/>
        <v>80.425057320382379</v>
      </c>
      <c r="T56" s="45">
        <f t="shared" si="14"/>
        <v>83.27845487576505</v>
      </c>
      <c r="U56" s="45">
        <f t="shared" ref="U56" si="15">+T56+U57</f>
        <v>86.464018194257534</v>
      </c>
      <c r="V56" s="45">
        <f t="shared" ref="V56" si="16">+U56+V57</f>
        <v>89.94186510457169</v>
      </c>
      <c r="W56" s="45">
        <f t="shared" ref="W56" si="17">+V56+W57</f>
        <v>93.686365197969195</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-1.8917251980885534</v>
      </c>
      <c r="E57" s="47">
        <f t="shared" ref="E57:T57" si="18">-E58+E66+E71</f>
        <v>-3.2563848245139102</v>
      </c>
      <c r="F57" s="47">
        <f>-F58+F66+F71</f>
        <v>-1.1460934083420315</v>
      </c>
      <c r="G57" s="47">
        <f>-G58+G66+G71</f>
        <v>-1.3838960544369003</v>
      </c>
      <c r="H57" s="47">
        <f t="shared" si="18"/>
        <v>-0.56691029150301286</v>
      </c>
      <c r="I57" s="47">
        <f t="shared" si="18"/>
        <v>0.14436708519531449</v>
      </c>
      <c r="J57" s="47">
        <f t="shared" si="18"/>
        <v>0.43524722468561716</v>
      </c>
      <c r="K57" s="47">
        <f t="shared" si="18"/>
        <v>0.50699219918620719</v>
      </c>
      <c r="L57" s="47">
        <f t="shared" si="18"/>
        <v>0.75810701014594417</v>
      </c>
      <c r="M57" s="47">
        <f t="shared" si="18"/>
        <v>1.0092039447176702</v>
      </c>
      <c r="N57" s="47">
        <f t="shared" si="18"/>
        <v>1.2375219394366466</v>
      </c>
      <c r="O57" s="47">
        <f t="shared" si="18"/>
        <v>1.4934365556757636</v>
      </c>
      <c r="P57" s="47">
        <f t="shared" si="18"/>
        <v>1.7544311035426599</v>
      </c>
      <c r="Q57" s="47">
        <f t="shared" si="18"/>
        <v>2.0622573898773835</v>
      </c>
      <c r="R57" s="47">
        <f>-R58+R66+R71</f>
        <v>2.3433738825773553</v>
      </c>
      <c r="S57" s="47">
        <f t="shared" si="18"/>
        <v>2.5574487622262465</v>
      </c>
      <c r="T57" s="47">
        <f t="shared" si="18"/>
        <v>2.8533975553826636</v>
      </c>
      <c r="U57" s="47">
        <f t="shared" ref="U57:W57" si="19">-U58+U66+U71</f>
        <v>3.1855633184924894</v>
      </c>
      <c r="V57" s="47">
        <f t="shared" si="19"/>
        <v>3.4778469103141556</v>
      </c>
      <c r="W57" s="47">
        <f t="shared" si="19"/>
        <v>3.7445000933975088</v>
      </c>
    </row>
    <row r="58" spans="2:48" outlineLevel="1" x14ac:dyDescent="0.2">
      <c r="B58" s="84" t="s">
        <v>106</v>
      </c>
      <c r="C58" s="48"/>
      <c r="D58" s="48">
        <f>D59+D60-D61-D62-D63-D64-D65</f>
        <v>-1.8615918019114464</v>
      </c>
      <c r="E58" s="48">
        <f>E59+E60-E61-E62-E63-E64-E65</f>
        <v>-1.2147641754860907</v>
      </c>
      <c r="F58" s="48">
        <f>F59+F60-F61-F62-F63-F64-F65</f>
        <v>-1.3889442916579684</v>
      </c>
      <c r="G58" s="48">
        <f t="shared" ref="G58:T58" si="20">G59+G60-G61-G62-G63-G64-G65</f>
        <v>-1.3114534455630995</v>
      </c>
      <c r="H58" s="48">
        <f t="shared" si="20"/>
        <v>-1.1888598456739183</v>
      </c>
      <c r="I58" s="48">
        <f t="shared" si="20"/>
        <v>-1.6125407364526256</v>
      </c>
      <c r="J58" s="48">
        <f t="shared" si="20"/>
        <v>-1.9453219473293819</v>
      </c>
      <c r="K58" s="48">
        <f t="shared" si="20"/>
        <v>-2.1150230749798444</v>
      </c>
      <c r="L58" s="48">
        <f t="shared" si="20"/>
        <v>-2.2790665898985627</v>
      </c>
      <c r="M58" s="48">
        <f t="shared" si="20"/>
        <v>-2.4356686323407479</v>
      </c>
      <c r="N58" s="48">
        <f t="shared" si="20"/>
        <v>-2.5808997595175631</v>
      </c>
      <c r="O58" s="48">
        <f t="shared" si="20"/>
        <v>-2.7712423595175633</v>
      </c>
      <c r="P58" s="48">
        <f t="shared" si="20"/>
        <v>-2.9021848595175559</v>
      </c>
      <c r="Q58" s="48">
        <f t="shared" si="20"/>
        <v>-3.082127818123463</v>
      </c>
      <c r="R58" s="48">
        <f t="shared" si="20"/>
        <v>-3.236102254641982</v>
      </c>
      <c r="S58" s="48">
        <f t="shared" si="20"/>
        <v>-3.3676147546419815</v>
      </c>
      <c r="T58" s="48">
        <f t="shared" si="20"/>
        <v>-3.5461782743059538</v>
      </c>
      <c r="U58" s="48">
        <f t="shared" ref="U58:W58" si="21">U59+U60-U61-U62-U63-U64-U65</f>
        <v>-3.7489316949705178</v>
      </c>
      <c r="V58" s="48">
        <f t="shared" si="21"/>
        <v>-3.8906818903834797</v>
      </c>
      <c r="W58" s="48">
        <f t="shared" si="21"/>
        <v>-4.0318967970364374</v>
      </c>
    </row>
    <row r="59" spans="2:48" outlineLevel="1" x14ac:dyDescent="0.2">
      <c r="B59" s="79" t="s">
        <v>107</v>
      </c>
      <c r="C59" s="1"/>
      <c r="D59" s="1">
        <f>D12</f>
        <v>-3.2634059999999998</v>
      </c>
      <c r="E59" s="1">
        <f>E12</f>
        <v>-1.555059</v>
      </c>
      <c r="F59" s="1">
        <f>F12</f>
        <v>-1.244675</v>
      </c>
      <c r="G59" s="1">
        <f t="shared" ref="G59:W59" si="22">IF(G12="",F59,G12)</f>
        <v>-1.244675</v>
      </c>
      <c r="H59" s="1">
        <f>IF(H12="",G59,H12)</f>
        <v>-1.244675</v>
      </c>
      <c r="I59" s="1">
        <f t="shared" si="22"/>
        <v>-1.244675</v>
      </c>
      <c r="J59" s="1">
        <f t="shared" si="22"/>
        <v>-1.244675</v>
      </c>
      <c r="K59" s="1">
        <f t="shared" si="22"/>
        <v>-1.244675</v>
      </c>
      <c r="L59" s="1">
        <f t="shared" si="22"/>
        <v>-1.244675</v>
      </c>
      <c r="M59" s="1">
        <f t="shared" si="22"/>
        <v>-1.244675</v>
      </c>
      <c r="N59" s="1">
        <f t="shared" si="22"/>
        <v>-1.244675</v>
      </c>
      <c r="O59" s="1">
        <f t="shared" si="22"/>
        <v>-1.244675</v>
      </c>
      <c r="P59" s="1">
        <f t="shared" si="22"/>
        <v>-1.244675</v>
      </c>
      <c r="Q59" s="1">
        <f t="shared" si="22"/>
        <v>-1.244675</v>
      </c>
      <c r="R59" s="1">
        <f t="shared" si="22"/>
        <v>-1.244675</v>
      </c>
      <c r="S59" s="1">
        <f t="shared" si="22"/>
        <v>-1.244675</v>
      </c>
      <c r="T59" s="1">
        <f t="shared" si="22"/>
        <v>-1.244675</v>
      </c>
      <c r="U59" s="1">
        <f t="shared" si="22"/>
        <v>-1.244675</v>
      </c>
      <c r="V59" s="1">
        <f t="shared" si="22"/>
        <v>-1.244675</v>
      </c>
      <c r="W59" s="1">
        <f t="shared" si="22"/>
        <v>-1.244675</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-1.4018141980885535</v>
      </c>
      <c r="E61" s="1">
        <f t="shared" si="23"/>
        <v>-0.74606702451390927</v>
      </c>
      <c r="F61" s="1">
        <f t="shared" si="23"/>
        <v>-0.50788490834203148</v>
      </c>
      <c r="G61" s="1">
        <f t="shared" si="23"/>
        <v>-0.57155635443690167</v>
      </c>
      <c r="H61" s="1">
        <f>-$C$47*H29</f>
        <v>-0.38104035432608119</v>
      </c>
      <c r="I61" s="1">
        <f t="shared" si="23"/>
        <v>-0.12701196354737904</v>
      </c>
      <c r="J61" s="1">
        <f>-$C$47*J29</f>
        <v>-3.2526706208457767E-6</v>
      </c>
      <c r="K61" s="1">
        <f t="shared" si="23"/>
        <v>-4.6250201612529913E-6</v>
      </c>
      <c r="L61" s="1">
        <f t="shared" si="23"/>
        <v>-3.7101014404683499E-6</v>
      </c>
      <c r="M61" s="1">
        <f t="shared" si="23"/>
        <v>-4.1676592569039886E-6</v>
      </c>
      <c r="N61" s="1">
        <f t="shared" si="23"/>
        <v>-5.5404824400362432E-6</v>
      </c>
      <c r="O61" s="1">
        <f t="shared" si="23"/>
        <v>-5.5404824400362432E-6</v>
      </c>
      <c r="P61" s="1">
        <f t="shared" si="23"/>
        <v>-5.5404824504279306E-6</v>
      </c>
      <c r="Q61" s="1">
        <f t="shared" si="23"/>
        <v>-5.0818765387816715E-6</v>
      </c>
      <c r="R61" s="1">
        <f t="shared" si="23"/>
        <v>-3.2453580215197068E-6</v>
      </c>
      <c r="S61" s="1">
        <f t="shared" si="23"/>
        <v>-3.2453580215197068E-6</v>
      </c>
      <c r="T61" s="1">
        <f t="shared" si="23"/>
        <v>-2.3256940509419623E-6</v>
      </c>
      <c r="U61" s="1">
        <f t="shared" si="23"/>
        <v>-1.4050294855572077E-6</v>
      </c>
      <c r="V61" s="1">
        <f t="shared" si="23"/>
        <v>-3.7096165227623602E-6</v>
      </c>
      <c r="W61" s="1">
        <f t="shared" si="23"/>
        <v>-1.4029635661216845E-6</v>
      </c>
    </row>
    <row r="62" spans="2:48" outlineLevel="1" x14ac:dyDescent="0.2">
      <c r="B62" s="79" t="s">
        <v>110</v>
      </c>
      <c r="C62" s="1"/>
      <c r="D62" s="1">
        <f t="shared" ref="D62:W62" si="24">-D13</f>
        <v>0</v>
      </c>
      <c r="E62" s="1">
        <f t="shared" si="24"/>
        <v>0.40577220000000003</v>
      </c>
      <c r="F62" s="1">
        <f t="shared" si="24"/>
        <v>0.65215420000000002</v>
      </c>
      <c r="G62" s="1">
        <f t="shared" si="24"/>
        <v>0.47665220000000003</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0.16260000000000119</v>
      </c>
      <c r="H63" s="1">
        <f>IF(H$55&lt;=$C$5,0,HLOOKUP(H$55,'Input data'!$C$9:$BB$26,12,FALSE)-HLOOKUP($C$5,'Input data'!$C$9:$BB$26,12,FALSE))</f>
        <v>0.32705999999999946</v>
      </c>
      <c r="I63" s="1">
        <f>IF(I$55&lt;=$C$5,0,HLOOKUP(I$55,'Input data'!$C$9:$BB$26,12,FALSE)-HLOOKUP($C$5,'Input data'!$C$9:$BB$26,12,FALSE))</f>
        <v>0.49763000000000446</v>
      </c>
      <c r="J63" s="1">
        <f>IF(J$55&lt;=$C$5,0,HLOOKUP(J$55,'Input data'!$C$9:$BB$26,12,FALSE)-HLOOKUP($C$5,'Input data'!$C$9:$BB$26,12,FALSE))</f>
        <v>0.70432000000000272</v>
      </c>
      <c r="K63" s="1">
        <f>IF(K$55&lt;=$C$5,0,HLOOKUP(K$55,'Input data'!$C$9:$BB$26,12,FALSE)-HLOOKUP($C$5,'Input data'!$C$9:$BB$26,12,FALSE))</f>
        <v>0.87494000000000582</v>
      </c>
      <c r="L63" s="1">
        <f>IF(L$55&lt;=$C$5,0,HLOOKUP(L$55,'Input data'!$C$9:$BB$26,12,FALSE)-HLOOKUP($C$5,'Input data'!$C$9:$BB$26,12,FALSE))</f>
        <v>1.0399000000000029</v>
      </c>
      <c r="M63" s="1">
        <f>IF(M$55&lt;=$C$5,0,HLOOKUP(M$55,'Input data'!$C$9:$BB$26,12,FALSE)-HLOOKUP($C$5,'Input data'!$C$9:$BB$26,12,FALSE))</f>
        <v>1.1974200000000046</v>
      </c>
      <c r="N63" s="1">
        <f>IF(N$55&lt;=$C$5,0,HLOOKUP(N$55,'Input data'!$C$9:$BB$26,12,FALSE)-HLOOKUP($C$5,'Input data'!$C$9:$BB$26,12,FALSE))</f>
        <v>1.3435700000000033</v>
      </c>
      <c r="O63" s="1">
        <f>IF(O$55&lt;=$C$5,0,HLOOKUP(O$55,'Input data'!$C$9:$BB$26,12,FALSE)-HLOOKUP($C$5,'Input data'!$C$9:$BB$26,12,FALSE))</f>
        <v>1.534830000000003</v>
      </c>
      <c r="P63" s="1">
        <f>IF(P$55&lt;=$C$5,0,HLOOKUP(P$55,'Input data'!$C$9:$BB$26,12,FALSE)-HLOOKUP($C$5,'Input data'!$C$9:$BB$26,12,FALSE))</f>
        <v>1.6666900000000062</v>
      </c>
      <c r="Q63" s="1">
        <f>IF(Q$55&lt;=$C$5,0,HLOOKUP(Q$55,'Input data'!$C$9:$BB$26,12,FALSE)-HLOOKUP($C$5,'Input data'!$C$9:$BB$26,12,FALSE))</f>
        <v>1.8475500000000018</v>
      </c>
      <c r="R63" s="1">
        <f>IF(R$55&lt;=$C$5,0,HLOOKUP(R$55,'Input data'!$C$9:$BB$26,12,FALSE)-HLOOKUP($C$5,'Input data'!$C$9:$BB$26,12,FALSE))</f>
        <v>2.0024400000000036</v>
      </c>
      <c r="S63" s="1">
        <f>IF(S$55&lt;=$C$5,0,HLOOKUP(S$55,'Input data'!$C$9:$BB$26,12,FALSE)-HLOOKUP($C$5,'Input data'!$C$9:$BB$26,12,FALSE))</f>
        <v>2.1348700000000029</v>
      </c>
      <c r="T63" s="1">
        <f>IF(T$55&lt;=$C$5,0,HLOOKUP(T$55,'Input data'!$C$9:$BB$26,12,FALSE)-HLOOKUP($C$5,'Input data'!$C$9:$BB$26,12,FALSE))</f>
        <v>2.3143500000000046</v>
      </c>
      <c r="U63" s="1">
        <f>IF(U$55&lt;=$C$5,0,HLOOKUP(U$55,'Input data'!$C$9:$BB$26,12,FALSE)-HLOOKUP($C$5,'Input data'!$C$9:$BB$26,12,FALSE))</f>
        <v>2.5180200000000035</v>
      </c>
      <c r="V63" s="1">
        <f>IF(V$55&lt;=$C$5,0,HLOOKUP(V$55,'Input data'!$C$9:$BB$26,12,FALSE)-HLOOKUP($C$5,'Input data'!$C$9:$BB$26,12,FALSE))</f>
        <v>2.6606900000000024</v>
      </c>
      <c r="W63" s="1">
        <f>IF(W$55&lt;=$C$5,0,HLOOKUP(W$55,'Input data'!$C$9:$BB$26,12,FALSE)-HLOOKUP($C$5,'Input data'!$C$9:$BB$26,12,FALSE))</f>
        <v>2.8028200000000041</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-9.1739999999995714E-4</v>
      </c>
      <c r="H64" s="1">
        <f>IF(H$55&lt;=$C$5,0,-HLOOKUP(H$55,'Input data'!$C$9:$BB$26,18,FALSE)+HLOOKUP($C$5,'Input data'!$C$9:$BB$26,18,FALSE))</f>
        <v>-1.8348000000000253E-3</v>
      </c>
      <c r="I64" s="1">
        <f>IF(I$55&lt;=$C$5,0,-HLOOKUP(I$55,'Input data'!$C$9:$BB$26,18,FALSE)+HLOOKUP($C$5,'Input data'!$C$9:$BB$26,18,FALSE))</f>
        <v>-2.7522999999999298E-3</v>
      </c>
      <c r="J64" s="1">
        <f>IF(J$55&lt;=$C$5,0,-HLOOKUP(J$55,'Input data'!$C$9:$BB$26,18,FALSE)+HLOOKUP($C$5,'Input data'!$C$9:$BB$26,18,FALSE))</f>
        <v>-3.6697999999999453E-3</v>
      </c>
      <c r="K64" s="1">
        <f>IF(K$55&lt;=$C$5,0,-HLOOKUP(K$55,'Input data'!$C$9:$BB$26,18,FALSE)+HLOOKUP($C$5,'Input data'!$C$9:$BB$26,18,FALSE))</f>
        <v>-4.5872999999999609E-3</v>
      </c>
      <c r="L64" s="1">
        <f>IF(L$55&lt;=$C$5,0,-HLOOKUP(L$55,'Input data'!$C$9:$BB$26,18,FALSE)+HLOOKUP($C$5,'Input data'!$C$9:$BB$26,18,FALSE))</f>
        <v>-5.504700000000029E-3</v>
      </c>
      <c r="M64" s="1">
        <f>IF(M$55&lt;=$C$5,0,-HLOOKUP(M$55,'Input data'!$C$9:$BB$26,18,FALSE)+HLOOKUP($C$5,'Input data'!$C$9:$BB$26,18,FALSE))</f>
        <v>-6.4221999999999335E-3</v>
      </c>
      <c r="N64" s="1">
        <f>IF(N$55&lt;=$C$5,0,-HLOOKUP(N$55,'Input data'!$C$9:$BB$26,18,FALSE)+HLOOKUP($C$5,'Input data'!$C$9:$BB$26,18,FALSE))</f>
        <v>-7.339699999999949E-3</v>
      </c>
      <c r="O64" s="1">
        <f>IF(O$55&lt;=$C$5,0,-HLOOKUP(O$55,'Input data'!$C$9:$BB$26,18,FALSE)+HLOOKUP($C$5,'Input data'!$C$9:$BB$26,18,FALSE))</f>
        <v>-8.2571000000000172E-3</v>
      </c>
      <c r="P64" s="1">
        <f>IF(P$55&lt;=$C$5,0,-HLOOKUP(P$55,'Input data'!$C$9:$BB$26,18,FALSE)+HLOOKUP($C$5,'Input data'!$C$9:$BB$26,18,FALSE))</f>
        <v>-9.1745999999999217E-3</v>
      </c>
      <c r="Q64" s="1">
        <f>IF(Q$55&lt;=$C$5,0,-HLOOKUP(Q$55,'Input data'!$C$9:$BB$26,18,FALSE)+HLOOKUP($C$5,'Input data'!$C$9:$BB$26,18,FALSE))</f>
        <v>-1.0092099999999937E-2</v>
      </c>
      <c r="R64" s="1">
        <f>IF(R$55&lt;=$C$5,0,-HLOOKUP(R$55,'Input data'!$C$9:$BB$26,18,FALSE)+HLOOKUP($C$5,'Input data'!$C$9:$BB$26,18,FALSE))</f>
        <v>-1.1009500000000005E-2</v>
      </c>
      <c r="S64" s="1">
        <f>IF(S$55&lt;=$C$5,0,-HLOOKUP(S$55,'Input data'!$C$9:$BB$26,18,FALSE)+HLOOKUP($C$5,'Input data'!$C$9:$BB$26,18,FALSE))</f>
        <v>-1.1927000000000021E-2</v>
      </c>
      <c r="T64" s="1">
        <f>IF(T$55&lt;=$C$5,0,-HLOOKUP(T$55,'Input data'!$C$9:$BB$26,18,FALSE)+HLOOKUP($C$5,'Input data'!$C$9:$BB$26,18,FALSE))</f>
        <v>-1.2844399999999978E-2</v>
      </c>
      <c r="U64" s="1">
        <f>IF(U$55&lt;=$C$5,0,-HLOOKUP(U$55,'Input data'!$C$9:$BB$26,18,FALSE)+HLOOKUP($C$5,'Input data'!$C$9:$BB$26,18,FALSE))</f>
        <v>-1.3761899999999994E-2</v>
      </c>
      <c r="V64" s="1">
        <f>IF(V$55&lt;=$C$5,0,-HLOOKUP(V$55,'Input data'!$C$9:$BB$26,18,FALSE)+HLOOKUP($C$5,'Input data'!$C$9:$BB$26,18,FALSE))</f>
        <v>-1.4679400000000009E-2</v>
      </c>
      <c r="W64" s="1">
        <f>IF(W$55&lt;=$C$5,0,-HLOOKUP(W$55,'Input data'!$C$9:$BB$26,18,FALSE)+HLOOKUP($C$5,'Input data'!$C$9:$BB$26,18,FALSE))</f>
        <v>-1.5596799999999966E-2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-5.0836959999999998</v>
      </c>
      <c r="E66" s="48">
        <f t="shared" ref="E66:T66" si="25">SUM(E67:E70)</f>
        <v>-5.7078360000000004</v>
      </c>
      <c r="F66" s="48">
        <f t="shared" si="25"/>
        <v>-2.3350279999999999</v>
      </c>
      <c r="G66" s="48">
        <f>SUM(G67:G70)</f>
        <v>-2.4953479999999999</v>
      </c>
      <c r="H66" s="48">
        <f t="shared" si="25"/>
        <v>-1.7557701371769312</v>
      </c>
      <c r="I66" s="48">
        <f t="shared" si="25"/>
        <v>-1.4681736512573111</v>
      </c>
      <c r="J66" s="48">
        <f t="shared" si="25"/>
        <v>-1.5100747226437647</v>
      </c>
      <c r="K66" s="48">
        <f t="shared" si="25"/>
        <v>-1.6080308757936372</v>
      </c>
      <c r="L66" s="48">
        <f t="shared" si="25"/>
        <v>-1.5209595797526185</v>
      </c>
      <c r="M66" s="48">
        <f t="shared" si="25"/>
        <v>-1.4264646876230778</v>
      </c>
      <c r="N66" s="48">
        <f t="shared" si="25"/>
        <v>-1.3433778200809166</v>
      </c>
      <c r="O66" s="48">
        <f t="shared" si="25"/>
        <v>-1.2778058038417996</v>
      </c>
      <c r="P66" s="48">
        <f t="shared" si="25"/>
        <v>-1.147753755974896</v>
      </c>
      <c r="Q66" s="48">
        <f t="shared" si="25"/>
        <v>-1.0198704282460793</v>
      </c>
      <c r="R66" s="48">
        <f t="shared" si="25"/>
        <v>-0.89272837206462663</v>
      </c>
      <c r="S66" s="48">
        <f t="shared" si="25"/>
        <v>-0.81016599241573495</v>
      </c>
      <c r="T66" s="48">
        <f t="shared" si="25"/>
        <v>-0.69278071892328996</v>
      </c>
      <c r="U66" s="48">
        <f t="shared" ref="U66:W66" si="26">SUM(U67:U70)</f>
        <v>-0.5633683764780284</v>
      </c>
      <c r="V66" s="48">
        <f t="shared" si="26"/>
        <v>-0.41283498006932406</v>
      </c>
      <c r="W66" s="48">
        <f t="shared" si="26"/>
        <v>-0.28739670363892866</v>
      </c>
    </row>
    <row r="67" spans="2:23" outlineLevel="1" x14ac:dyDescent="0.2">
      <c r="B67" s="79" t="s">
        <v>115</v>
      </c>
      <c r="C67" s="34"/>
      <c r="D67" s="34">
        <f t="shared" ref="D67:W67" si="27">C56*D35/100*(1/(1+D32/100))</f>
        <v>1.1211705707570556</v>
      </c>
      <c r="E67" s="34">
        <f t="shared" si="27"/>
        <v>1.2444369200439294</v>
      </c>
      <c r="F67" s="34">
        <f t="shared" si="27"/>
        <v>1.4137507336400548</v>
      </c>
      <c r="G67" s="34">
        <f>F56*G35/100*(1/(1+G32/100))</f>
        <v>1.3974991827995444</v>
      </c>
      <c r="H67" s="34">
        <f>G56*H35/100*(1/(1+H32/100))</f>
        <v>1.4488378099658026</v>
      </c>
      <c r="I67" s="34">
        <f t="shared" si="27"/>
        <v>1.5049368967724253</v>
      </c>
      <c r="J67" s="34">
        <f t="shared" si="27"/>
        <v>1.5713807687285306</v>
      </c>
      <c r="K67" s="34">
        <f t="shared" si="27"/>
        <v>1.6440792554551937</v>
      </c>
      <c r="L67" s="34">
        <f t="shared" si="27"/>
        <v>1.7225421634638878</v>
      </c>
      <c r="M67" s="34">
        <f t="shared" si="27"/>
        <v>1.8073055462622838</v>
      </c>
      <c r="N67" s="34">
        <f t="shared" si="27"/>
        <v>1.8983304960836618</v>
      </c>
      <c r="O67" s="34">
        <f t="shared" si="27"/>
        <v>1.9952095412918287</v>
      </c>
      <c r="P67" s="34">
        <f t="shared" si="27"/>
        <v>2.0986245465016058</v>
      </c>
      <c r="Q67" s="34">
        <f t="shared" si="27"/>
        <v>2.2070920110455465</v>
      </c>
      <c r="R67" s="34">
        <f t="shared" si="27"/>
        <v>2.3229600849915002</v>
      </c>
      <c r="S67" s="34">
        <f t="shared" si="27"/>
        <v>2.4444627162136352</v>
      </c>
      <c r="T67" s="34">
        <f t="shared" si="27"/>
        <v>2.5723662379515693</v>
      </c>
      <c r="U67" s="34">
        <f t="shared" si="27"/>
        <v>2.7092086920902494</v>
      </c>
      <c r="V67" s="34">
        <f t="shared" si="27"/>
        <v>2.8569986489929819</v>
      </c>
      <c r="W67" s="34">
        <f t="shared" si="27"/>
        <v>3.0131002092243317</v>
      </c>
    </row>
    <row r="68" spans="2:23" outlineLevel="1" x14ac:dyDescent="0.2">
      <c r="B68" s="79" t="s">
        <v>116</v>
      </c>
      <c r="C68" s="34"/>
      <c r="D68" s="34">
        <f t="shared" ref="D68:W68" si="28">-C56*(D23/100)*(1/(1+D32/100))</f>
        <v>-1.677345040529362</v>
      </c>
      <c r="E68" s="34">
        <f t="shared" si="28"/>
        <v>-1.0397933543702227</v>
      </c>
      <c r="F68" s="34">
        <f t="shared" si="28"/>
        <v>-1.5342798415845809</v>
      </c>
      <c r="G68" s="34">
        <f t="shared" si="28"/>
        <v>-1.9350363401051254</v>
      </c>
      <c r="H68" s="34">
        <f t="shared" si="28"/>
        <v>-1.3189485536684644</v>
      </c>
      <c r="I68" s="34">
        <f t="shared" si="28"/>
        <v>-1.1355882198484182</v>
      </c>
      <c r="J68" s="34">
        <f t="shared" si="28"/>
        <v>-1.2721311151158785</v>
      </c>
      <c r="K68" s="34">
        <f t="shared" si="28"/>
        <v>-1.4633558137397196</v>
      </c>
      <c r="L68" s="34">
        <f t="shared" si="28"/>
        <v>-1.4738846751675161</v>
      </c>
      <c r="M68" s="34">
        <f t="shared" si="28"/>
        <v>-1.4773278707249669</v>
      </c>
      <c r="N68" s="34">
        <f t="shared" si="28"/>
        <v>-1.4928469986982458</v>
      </c>
      <c r="O68" s="34">
        <f t="shared" si="28"/>
        <v>-1.5270769780197175</v>
      </c>
      <c r="P68" s="34">
        <f t="shared" si="28"/>
        <v>-1.4820603698812627</v>
      </c>
      <c r="Q68" s="34">
        <f t="shared" si="28"/>
        <v>-1.438703174665791</v>
      </c>
      <c r="R68" s="34">
        <f t="shared" si="28"/>
        <v>-1.3970040052837049</v>
      </c>
      <c r="S68" s="34">
        <f t="shared" si="28"/>
        <v>-1.3999140963499777</v>
      </c>
      <c r="T68" s="34">
        <f t="shared" si="28"/>
        <v>-1.370598432178924</v>
      </c>
      <c r="U68" s="34">
        <f t="shared" si="28"/>
        <v>-1.3326531062818134</v>
      </c>
      <c r="V68" s="34">
        <f t="shared" si="28"/>
        <v>-1.278392621877076</v>
      </c>
      <c r="W68" s="34">
        <f t="shared" si="28"/>
        <v>-1.2525681950517487</v>
      </c>
    </row>
    <row r="69" spans="2:23" outlineLevel="1" x14ac:dyDescent="0.2">
      <c r="B69" s="79" t="s">
        <v>117</v>
      </c>
      <c r="C69" s="34"/>
      <c r="D69" s="34">
        <f>-C56*D41/100*(1/(1+D41/100))</f>
        <v>-4.5275223150308781</v>
      </c>
      <c r="E69" s="34">
        <f t="shared" ref="E69:T69" si="29">-D56*E41/100*(1/(1+E41/100))</f>
        <v>-5.9124787907447942</v>
      </c>
      <c r="F69" s="34">
        <f>-E56*F41/100*(1/(1+F41/100))</f>
        <v>-2.214498839681593</v>
      </c>
      <c r="G69" s="34">
        <f>-F56*G41/100*(1/(1+G41/100))</f>
        <v>-1.9578111344399465</v>
      </c>
      <c r="H69" s="34">
        <f t="shared" si="29"/>
        <v>-1.8856593934742694</v>
      </c>
      <c r="I69" s="34">
        <f t="shared" si="29"/>
        <v>-1.8375223281813182</v>
      </c>
      <c r="J69" s="34">
        <f t="shared" si="29"/>
        <v>-1.8093243762564168</v>
      </c>
      <c r="K69" s="34">
        <f t="shared" si="29"/>
        <v>-1.7887543175091114</v>
      </c>
      <c r="L69" s="34">
        <f t="shared" si="29"/>
        <v>-1.7696170680489902</v>
      </c>
      <c r="M69" s="34">
        <f t="shared" si="29"/>
        <v>-1.7564423631603947</v>
      </c>
      <c r="N69" s="34">
        <f t="shared" si="29"/>
        <v>-1.7488613174663326</v>
      </c>
      <c r="O69" s="34">
        <f t="shared" si="29"/>
        <v>-1.7459383671139108</v>
      </c>
      <c r="P69" s="34">
        <f t="shared" si="29"/>
        <v>-1.7643179325952392</v>
      </c>
      <c r="Q69" s="34">
        <f t="shared" si="29"/>
        <v>-1.7882592646258348</v>
      </c>
      <c r="R69" s="34">
        <f t="shared" si="29"/>
        <v>-1.8186844517724219</v>
      </c>
      <c r="S69" s="34">
        <f t="shared" si="29"/>
        <v>-1.8547146122793925</v>
      </c>
      <c r="T69" s="34">
        <f t="shared" si="29"/>
        <v>-1.8945485246959353</v>
      </c>
      <c r="U69" s="34">
        <f t="shared" ref="U69" si="30">-T56*U41/100*(1/(1+U41/100))</f>
        <v>-1.9399239622864644</v>
      </c>
      <c r="V69" s="34">
        <f t="shared" ref="V69" si="31">-U56*V41/100*(1/(1+V41/100))</f>
        <v>-1.99144100718523</v>
      </c>
      <c r="W69" s="34">
        <f t="shared" ref="W69" si="32">-V56*W41/100*(1/(1+W41/100))</f>
        <v>-2.0479287178115118</v>
      </c>
    </row>
    <row r="70" spans="2:23" outlineLevel="1" x14ac:dyDescent="0.2">
      <c r="B70" s="79" t="s">
        <v>118</v>
      </c>
      <c r="C70" s="49"/>
      <c r="D70" s="49">
        <v>7.8480318421725315E-7</v>
      </c>
      <c r="E70" s="49">
        <v>-7.7492891303876377E-7</v>
      </c>
      <c r="F70" s="49">
        <v>-5.237388078782601E-8</v>
      </c>
      <c r="G70" s="49">
        <v>2.917455272921643E-7</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1.330379</v>
      </c>
      <c r="E71" s="50">
        <f>'Input data'!E16</f>
        <v>1.2366870000000001</v>
      </c>
      <c r="F71" s="50">
        <f>'Input data'!F16</f>
        <v>-0.20000970000000001</v>
      </c>
      <c r="G71" s="50">
        <f>'Input data'!G16</f>
        <v>-0.2000015</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1.3303780000000001</v>
      </c>
      <c r="E72" s="34">
        <f t="shared" si="33"/>
        <v>1.2366839999999999</v>
      </c>
      <c r="F72" s="34">
        <f t="shared" si="33"/>
        <v>-0.20000760000000001</v>
      </c>
      <c r="G72" s="34">
        <f t="shared" si="33"/>
        <v>-0.2</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9.9999999991773336E-7</v>
      </c>
      <c r="E73" s="49">
        <f t="shared" ref="E73:T73" si="34">+E71-E72</f>
        <v>3.0000000001972893E-6</v>
      </c>
      <c r="F73" s="49">
        <f>+F71-F72</f>
        <v>-2.1000000000048757E-6</v>
      </c>
      <c r="G73" s="49">
        <f t="shared" si="34"/>
        <v>-1.4999999999876223E-6</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-2.982762372668502</v>
      </c>
      <c r="E76" s="78">
        <f t="shared" ref="E76:T76" si="36">E58-E67</f>
        <v>-2.4592010955300201</v>
      </c>
      <c r="F76" s="78">
        <f t="shared" si="36"/>
        <v>-2.8026950252980232</v>
      </c>
      <c r="G76" s="78">
        <f t="shared" si="36"/>
        <v>-2.7089526283626437</v>
      </c>
      <c r="H76" s="78">
        <f t="shared" si="36"/>
        <v>-2.6376976556397209</v>
      </c>
      <c r="I76" s="78">
        <f t="shared" si="36"/>
        <v>-3.1174776332250511</v>
      </c>
      <c r="J76" s="78">
        <f t="shared" si="36"/>
        <v>-3.5167027160579125</v>
      </c>
      <c r="K76" s="78">
        <f t="shared" si="36"/>
        <v>-3.7591023304350379</v>
      </c>
      <c r="L76" s="78">
        <f t="shared" si="36"/>
        <v>-4.0016087533624507</v>
      </c>
      <c r="M76" s="78">
        <f t="shared" si="36"/>
        <v>-4.2429741786030313</v>
      </c>
      <c r="N76" s="78">
        <f t="shared" si="36"/>
        <v>-4.4792302556012249</v>
      </c>
      <c r="O76" s="78">
        <f t="shared" si="36"/>
        <v>-4.7664519008093915</v>
      </c>
      <c r="P76" s="78">
        <f t="shared" si="36"/>
        <v>-5.0008094060191617</v>
      </c>
      <c r="Q76" s="78">
        <f t="shared" si="36"/>
        <v>-5.28921982916901</v>
      </c>
      <c r="R76" s="78">
        <f t="shared" si="36"/>
        <v>-5.5590623396334822</v>
      </c>
      <c r="S76" s="78">
        <f t="shared" si="36"/>
        <v>-5.8120774708556162</v>
      </c>
      <c r="T76" s="78">
        <f t="shared" si="36"/>
        <v>-6.1185445122575235</v>
      </c>
      <c r="U76" s="78">
        <f t="shared" ref="U76:W76" si="37">U58-U67</f>
        <v>-6.4581403870607677</v>
      </c>
      <c r="V76" s="78">
        <f t="shared" si="37"/>
        <v>-6.7476805393764616</v>
      </c>
      <c r="W76" s="78">
        <f t="shared" si="37"/>
        <v>-7.0449970062607692</v>
      </c>
    </row>
    <row r="77" spans="2:23" x14ac:dyDescent="0.2">
      <c r="B77" s="26" t="s">
        <v>42</v>
      </c>
      <c r="D77" s="34">
        <f>D59-D67-D63-D64-D65</f>
        <v>-4.384576570757055</v>
      </c>
      <c r="E77" s="34">
        <f>E59-E67-E63-E64-E65</f>
        <v>-2.7994959200439293</v>
      </c>
      <c r="F77" s="34">
        <f t="shared" ref="F77:W77" si="38">F59-F67-F63-F64-F65</f>
        <v>-2.6584257336400547</v>
      </c>
      <c r="G77" s="34">
        <f t="shared" si="38"/>
        <v>-2.8038567827995453</v>
      </c>
      <c r="H77" s="34">
        <f t="shared" si="38"/>
        <v>-3.0187380099658019</v>
      </c>
      <c r="I77" s="34">
        <f t="shared" si="38"/>
        <v>-3.2444895967724294</v>
      </c>
      <c r="J77" s="34">
        <f t="shared" si="38"/>
        <v>-3.5167059687285334</v>
      </c>
      <c r="K77" s="34">
        <f t="shared" si="38"/>
        <v>-3.7591069554551995</v>
      </c>
      <c r="L77" s="34">
        <f t="shared" si="38"/>
        <v>-4.0016124634638901</v>
      </c>
      <c r="M77" s="34">
        <f t="shared" si="38"/>
        <v>-4.2429783462622881</v>
      </c>
      <c r="N77" s="34">
        <f t="shared" si="38"/>
        <v>-4.4792357960836648</v>
      </c>
      <c r="O77" s="34">
        <f t="shared" si="38"/>
        <v>-4.7664574412918324</v>
      </c>
      <c r="P77" s="34">
        <f t="shared" si="38"/>
        <v>-5.0008149465016123</v>
      </c>
      <c r="Q77" s="34">
        <f t="shared" si="38"/>
        <v>-5.2892249110455491</v>
      </c>
      <c r="R77" s="34">
        <f t="shared" si="38"/>
        <v>-5.5590655849915036</v>
      </c>
      <c r="S77" s="34">
        <f t="shared" si="38"/>
        <v>-5.8120807162136376</v>
      </c>
      <c r="T77" s="34">
        <f t="shared" si="38"/>
        <v>-6.1185468379515742</v>
      </c>
      <c r="U77" s="34">
        <f t="shared" si="38"/>
        <v>-6.4581417920902524</v>
      </c>
      <c r="V77" s="34">
        <f t="shared" si="38"/>
        <v>-6.747684248992984</v>
      </c>
      <c r="W77" s="34">
        <f t="shared" si="38"/>
        <v>-7.0449984092243358</v>
      </c>
    </row>
    <row r="78" spans="2:23" x14ac:dyDescent="0.2">
      <c r="B78" s="35" t="s">
        <v>123</v>
      </c>
      <c r="C78" s="35"/>
      <c r="D78" s="285">
        <f>'Input data'!D45</f>
        <v>13.570048119137473</v>
      </c>
      <c r="E78" s="285">
        <f>'Input data'!E45</f>
        <v>9.3812780142752157</v>
      </c>
      <c r="F78" s="285">
        <f>'Input data'!F45</f>
        <v>5.6134088664592108</v>
      </c>
      <c r="G78" s="49">
        <f>'Input data'!G33+G41-(G$12-F$12)/'Input data'!$C$64*100</f>
        <v>5.8377149999999993</v>
      </c>
      <c r="H78" s="49">
        <f>'Input data'!H33+H41-(H$12-G$12)/'Input data'!$C$64*100</f>
        <v>5.399555125</v>
      </c>
      <c r="I78" s="49">
        <f>'Input data'!I33+I41-(I$12-H$12)/'Input data'!$C$64*100</f>
        <v>5.2077062499999993</v>
      </c>
      <c r="J78" s="49">
        <f>'Input data'!J33+J41-(J$12-I$12)/'Input data'!$C$64*100</f>
        <v>5.097169375</v>
      </c>
      <c r="K78" s="49">
        <f>'Input data'!K33+K41-(K$12-J$12)/'Input data'!$C$64*100</f>
        <v>5.0618995</v>
      </c>
      <c r="L78" s="49">
        <f>'Input data'!L33+L41-(L$12-K$12)/'Input data'!$C$64*100</f>
        <v>5.0083756249999993</v>
      </c>
      <c r="M78" s="49">
        <f>'Input data'!M33+M41-(M$12-L$12)/'Input data'!$C$64*100</f>
        <v>4.9349617499999994</v>
      </c>
      <c r="N78" s="49">
        <f>'Input data'!N33+N41-(N$12-M$12)/'Input data'!$C$64*100</f>
        <v>4.8724078749999995</v>
      </c>
      <c r="O78" s="49">
        <f>'Input data'!O33+O41-(O$12-N$12)/'Input data'!$C$64*100</f>
        <v>4.8312249999999999</v>
      </c>
      <c r="P78" s="49">
        <f>'Input data'!P33+P41-(P$12-O$12)/'Input data'!$C$64*100</f>
        <v>4.6873190000000005</v>
      </c>
      <c r="Q78" s="49">
        <f>'Input data'!Q33+Q41-(Q$12-P$12)/'Input data'!$C$64*100</f>
        <v>4.5434140000000003</v>
      </c>
      <c r="R78" s="49">
        <f>'Input data'!R33+R41-(R$12-Q$12)/'Input data'!$C$64*100</f>
        <v>4.399508</v>
      </c>
      <c r="S78" s="49">
        <f>'Input data'!S33+S41-(S$12-R$12)/'Input data'!$C$64*100</f>
        <v>4.3162339999999997</v>
      </c>
      <c r="T78" s="49">
        <f>'Input data'!T33+T41-(T$12-S$12)/'Input data'!$C$64*100</f>
        <v>4.1888109999999994</v>
      </c>
      <c r="U78" s="49">
        <f>'Input data'!U33+U41-(U$12-T$12)/'Input data'!$C$64*100</f>
        <v>4.0506960000000003</v>
      </c>
      <c r="V78" s="49">
        <f>'Input data'!V33+V41-(V$12-U$12)/'Input data'!$C$64*100</f>
        <v>3.8941319999999999</v>
      </c>
      <c r="W78" s="49">
        <f>'Input data'!W33+W41-(W$12-V$12)/'Input data'!$C$64*100</f>
        <v>3.7756980000000002</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74.367679999999993</v>
      </c>
      <c r="D87" s="110">
        <f>D56</f>
        <v>72.475954801911442</v>
      </c>
      <c r="E87" s="110">
        <f>E56</f>
        <v>69.219569977397526</v>
      </c>
      <c r="F87" s="110">
        <f>F56</f>
        <v>68.073476569055501</v>
      </c>
      <c r="G87" s="110">
        <f>G56</f>
        <v>66.689580514618598</v>
      </c>
      <c r="H87" s="110">
        <f t="shared" ref="H87:W87" si="41">G87*(1+H101/100)*H42-H59-H60+H61+H62+H63+H64+H65+H71</f>
        <v>66.122670223115605</v>
      </c>
      <c r="I87" s="110">
        <f t="shared" si="41"/>
        <v>66.267037308310933</v>
      </c>
      <c r="J87" s="110">
        <f t="shared" si="41"/>
        <v>66.702284532996558</v>
      </c>
      <c r="K87" s="110">
        <f t="shared" si="41"/>
        <v>67.209276732182758</v>
      </c>
      <c r="L87" s="110">
        <f t="shared" si="41"/>
        <v>67.967383742328693</v>
      </c>
      <c r="M87" s="110">
        <f t="shared" si="41"/>
        <v>68.976587687046361</v>
      </c>
      <c r="N87" s="110">
        <f t="shared" si="41"/>
        <v>70.214109626483022</v>
      </c>
      <c r="O87" s="110">
        <f t="shared" si="41"/>
        <v>71.707546182158794</v>
      </c>
      <c r="P87" s="110">
        <f t="shared" si="41"/>
        <v>73.461977285701451</v>
      </c>
      <c r="Q87" s="110">
        <f t="shared" si="41"/>
        <v>75.524234675578839</v>
      </c>
      <c r="R87" s="110">
        <f t="shared" si="41"/>
        <v>77.867608558156192</v>
      </c>
      <c r="S87" s="110">
        <f t="shared" si="41"/>
        <v>80.42505732038245</v>
      </c>
      <c r="T87" s="110">
        <f t="shared" si="41"/>
        <v>83.278454875765107</v>
      </c>
      <c r="U87" s="110">
        <f t="shared" si="41"/>
        <v>86.464018194257591</v>
      </c>
      <c r="V87" s="110">
        <f t="shared" si="41"/>
        <v>89.941865104571761</v>
      </c>
      <c r="W87" s="110">
        <f t="shared" si="41"/>
        <v>93.68636519796928</v>
      </c>
    </row>
    <row r="88" spans="2:23" x14ac:dyDescent="0.2">
      <c r="B88" s="26" t="s">
        <v>127</v>
      </c>
      <c r="C88" s="34"/>
      <c r="D88" s="254">
        <f>'Input data'!C66*$D$87</f>
        <v>64.060964244374262</v>
      </c>
      <c r="E88" s="34">
        <f t="shared" ref="E88:W88" si="42">IF(E87=0,0,IF(E83=1,D87*E42/((1+E23/100)*(1+E41/100))-E89-E90,IF(AND(E83=0,E84=1),(1-D93-E38*D94)*D87*E42/((1+E23/100)*(1+E41/100)),E87)))</f>
        <v>62.18233333201178</v>
      </c>
      <c r="F88" s="34">
        <f t="shared" si="42"/>
        <v>60.507217589514426</v>
      </c>
      <c r="G88" s="34">
        <f t="shared" si="42"/>
        <v>59.246951482607997</v>
      </c>
      <c r="H88" s="34">
        <f t="shared" si="42"/>
        <v>58.538574534308331</v>
      </c>
      <c r="I88" s="34">
        <f t="shared" si="42"/>
        <v>58.163132901122786</v>
      </c>
      <c r="J88" s="34">
        <f t="shared" si="42"/>
        <v>58.127871160539883</v>
      </c>
      <c r="K88" s="34">
        <f t="shared" si="42"/>
        <v>58.301266765643938</v>
      </c>
      <c r="L88" s="34">
        <f t="shared" si="42"/>
        <v>58.704372422926127</v>
      </c>
      <c r="M88" s="34">
        <f t="shared" si="42"/>
        <v>59.337719768916834</v>
      </c>
      <c r="N88" s="34">
        <f t="shared" si="42"/>
        <v>60.183482690796524</v>
      </c>
      <c r="O88" s="34">
        <f t="shared" si="42"/>
        <v>61.215077538948492</v>
      </c>
      <c r="P88" s="34">
        <f t="shared" si="42"/>
        <v>62.584266866075737</v>
      </c>
      <c r="Q88" s="34">
        <f t="shared" si="42"/>
        <v>64.185382085522477</v>
      </c>
      <c r="R88" s="34">
        <f t="shared" si="42"/>
        <v>66.060116593829235</v>
      </c>
      <c r="S88" s="34">
        <f t="shared" si="42"/>
        <v>68.14566126448095</v>
      </c>
      <c r="T88" s="34">
        <f t="shared" si="42"/>
        <v>70.452624897591221</v>
      </c>
      <c r="U88" s="34">
        <f t="shared" si="42"/>
        <v>73.032420094607204</v>
      </c>
      <c r="V88" s="34">
        <f t="shared" si="42"/>
        <v>75.924433378120654</v>
      </c>
      <c r="W88" s="34">
        <f t="shared" si="42"/>
        <v>79.052587264513434</v>
      </c>
    </row>
    <row r="89" spans="2:23" x14ac:dyDescent="0.2">
      <c r="B89" s="105" t="s">
        <v>128</v>
      </c>
      <c r="C89" s="34"/>
      <c r="D89" s="254">
        <f>'Input data'!C67*$D$87</f>
        <v>2.6359801746474867</v>
      </c>
      <c r="E89" s="34">
        <f t="shared" ref="E89:W89" si="43">IF(E87=0,0,IF(E83=1,E38*D87*D94*E42/((1+E23/100)*(1+E41/100)),IF(AND(E83=0,E84=1),(E38*D87*D94*E42/((1+E23/100)*(1+E41/100)))*(1-ABS(E87-D87*E42/((1+E23/100)*(1+E41/100)))/((E38*D87*D94*E42/((1+E23/100)*(1+E41/100)))+(D93*D87*E42/((1+E23/100)*(1+E41/100))))),0)))</f>
        <v>1.9322374906716235</v>
      </c>
      <c r="F89" s="34">
        <f t="shared" si="43"/>
        <v>3.5267677960902559</v>
      </c>
      <c r="G89" s="34">
        <f t="shared" si="43"/>
        <v>3.5060378948128075</v>
      </c>
      <c r="H89" s="34">
        <f t="shared" si="43"/>
        <v>3.5163026590338742</v>
      </c>
      <c r="I89" s="34">
        <f t="shared" si="43"/>
        <v>3.5456874067277178</v>
      </c>
      <c r="J89" s="34">
        <f t="shared" si="43"/>
        <v>3.5955306690502962</v>
      </c>
      <c r="K89" s="34">
        <f t="shared" si="43"/>
        <v>3.6584921003850277</v>
      </c>
      <c r="L89" s="34">
        <f t="shared" si="43"/>
        <v>3.736473543334863</v>
      </c>
      <c r="M89" s="34">
        <f t="shared" si="43"/>
        <v>3.830129851683945</v>
      </c>
      <c r="N89" s="34">
        <f t="shared" si="43"/>
        <v>3.9389184068181828</v>
      </c>
      <c r="O89" s="34">
        <f t="shared" si="43"/>
        <v>4.0616533166694166</v>
      </c>
      <c r="P89" s="34">
        <f t="shared" si="43"/>
        <v>4.1524997648853228</v>
      </c>
      <c r="Q89" s="34">
        <f t="shared" si="43"/>
        <v>4.2587346207882355</v>
      </c>
      <c r="R89" s="34">
        <f t="shared" si="43"/>
        <v>4.3831242636616574</v>
      </c>
      <c r="S89" s="34">
        <f t="shared" si="43"/>
        <v>4.5215012741820688</v>
      </c>
      <c r="T89" s="34">
        <f t="shared" si="43"/>
        <v>4.6745695519424979</v>
      </c>
      <c r="U89" s="34">
        <f t="shared" si="43"/>
        <v>4.8457403506990779</v>
      </c>
      <c r="V89" s="34">
        <f t="shared" si="43"/>
        <v>5.0376269874081592</v>
      </c>
      <c r="W89" s="34">
        <f t="shared" si="43"/>
        <v>5.2451816801165965</v>
      </c>
    </row>
    <row r="90" spans="2:23" x14ac:dyDescent="0.2">
      <c r="B90" s="105" t="s">
        <v>129</v>
      </c>
      <c r="C90" s="34"/>
      <c r="D90" s="254">
        <f>'Input data'!C68*$D$87</f>
        <v>1.4658670971213696</v>
      </c>
      <c r="E90" s="34">
        <f t="shared" ref="E90:W90" si="44">IF(E87=0,0,IF(E83=1,(1-D94)*D87*E42/((1+E23/100)*(1+E41/100)),IF(AND(E83=0,E84=1),(D93*D87*E42/((1+E23/100)*(1+E41/100)))*(1-ABS(E87-D87*E42/((1+E23/100)*(1+E41/100)))/((E38*D87*D94*E42/((1+E23/100)*(1+E41/100)))+(D93*D87*E42/((1+E23/100)*(1+E41/100))))),0)))</f>
        <v>1.4091118341130224</v>
      </c>
      <c r="F90" s="34">
        <f t="shared" si="44"/>
        <v>1.4367993634475367</v>
      </c>
      <c r="G90" s="34">
        <f t="shared" si="44"/>
        <v>1.4276397170896351</v>
      </c>
      <c r="H90" s="34">
        <f t="shared" si="44"/>
        <v>1.4300953741336571</v>
      </c>
      <c r="I90" s="34">
        <f t="shared" si="44"/>
        <v>1.4407393672353703</v>
      </c>
      <c r="J90" s="34">
        <f t="shared" si="44"/>
        <v>1.46217998734845</v>
      </c>
      <c r="K90" s="34">
        <f t="shared" si="44"/>
        <v>1.490415535718759</v>
      </c>
      <c r="L90" s="34">
        <f t="shared" si="44"/>
        <v>1.524929022705253</v>
      </c>
      <c r="M90" s="34">
        <f t="shared" si="44"/>
        <v>1.5657638878425535</v>
      </c>
      <c r="N90" s="34">
        <f t="shared" si="44"/>
        <v>1.6124782732670759</v>
      </c>
      <c r="O90" s="34">
        <f t="shared" si="44"/>
        <v>1.6643634257314728</v>
      </c>
      <c r="P90" s="34">
        <f t="shared" si="44"/>
        <v>1.7244012487212341</v>
      </c>
      <c r="Q90" s="34">
        <f t="shared" si="44"/>
        <v>1.7908981400991135</v>
      </c>
      <c r="R90" s="34">
        <f t="shared" si="44"/>
        <v>1.8653053610318175</v>
      </c>
      <c r="S90" s="34">
        <f t="shared" si="44"/>
        <v>1.9458173108637988</v>
      </c>
      <c r="T90" s="34">
        <f t="shared" si="44"/>
        <v>2.0327159139738775</v>
      </c>
      <c r="U90" s="34">
        <f t="shared" si="44"/>
        <v>2.1277173618905478</v>
      </c>
      <c r="V90" s="34">
        <f t="shared" si="44"/>
        <v>2.2321241996664871</v>
      </c>
      <c r="W90" s="34">
        <f t="shared" si="44"/>
        <v>2.3435992470784575</v>
      </c>
    </row>
    <row r="91" spans="2:23" x14ac:dyDescent="0.2">
      <c r="B91" s="105" t="s">
        <v>130</v>
      </c>
      <c r="C91" s="34"/>
      <c r="D91" s="254">
        <f>'Input data'!C69*$D$87</f>
        <v>4.2203872796227522</v>
      </c>
      <c r="E91" s="34">
        <f>IF(E87=0,0,IF(E83=1,'Input data'!$C$58*(E87-D87*E42/((1+E23/100)*(1+E41/100))),0))</f>
        <v>3.5859302377484346</v>
      </c>
      <c r="F91" s="34">
        <f>IF(F87=0,0,IF(F83=1,'Input data'!$C$58*(F87-E87*F42/((1+F23/100)*(1+F41/100))),0))</f>
        <v>2.525258615128005</v>
      </c>
      <c r="G91" s="34">
        <f>IF(G87=0,0,IF(G83=1,'Input data'!$C$58*(G87-F87*G42/((1+G23/100)*(1+G41/100))),0))</f>
        <v>2.4343071046182394</v>
      </c>
      <c r="H91" s="34">
        <f>IF(H87=0,0,IF(H83=1,'Input data'!$C$58*(H87-G87*H42/((1+H23/100)*(1+H41/100))),0))</f>
        <v>2.5592229851472719</v>
      </c>
      <c r="I91" s="34">
        <f>IF(I87=0,0,IF(I83=1,'Input data'!$C$58*(I87-H87*I42/((1+I23/100)*(1+I41/100))),0))</f>
        <v>3.0247289326634519</v>
      </c>
      <c r="J91" s="34">
        <f>IF(J87=0,0,IF(J83=1,'Input data'!$C$58*(J87-I87*J42/((1+J23/100)*(1+J41/100))),0))</f>
        <v>3.4120765902119454</v>
      </c>
      <c r="K91" s="34">
        <f>IF(K87=0,0,IF(K83=1,'Input data'!$C$58*(K87-J87*K42/((1+K23/100)*(1+K41/100))),0))</f>
        <v>3.6472645251817957</v>
      </c>
      <c r="L91" s="34">
        <f>IF(L87=0,0,IF(L83=1,'Input data'!$C$58*(L87-K87*L42/((1+L23/100)*(1+L41/100))),0))</f>
        <v>3.8825560910194175</v>
      </c>
      <c r="M91" s="34">
        <f>IF(M87=0,0,IF(M83=1,'Input data'!$C$58*(M87-L87*M42/((1+M23/100)*(1+M41/100))),0))</f>
        <v>4.1167406052205804</v>
      </c>
      <c r="N91" s="34">
        <f>IF(N87=0,0,IF(N83=1,'Input data'!$C$58*(N87-M87*N42/((1+N23/100)*(1+N41/100))),0))</f>
        <v>4.3459677804207937</v>
      </c>
      <c r="O91" s="34">
        <f>IF(O87=0,0,IF(O83=1,'Input data'!$C$58*(O87-N87*O42/((1+O23/100)*(1+O41/100))),0))</f>
        <v>4.624644237018054</v>
      </c>
      <c r="P91" s="34">
        <f>IF(P87=0,0,IF(P83=1,'Input data'!$C$58*(P87-O87*P42/((1+P23/100)*(1+P41/100))),0))</f>
        <v>4.8520293252188011</v>
      </c>
      <c r="Q91" s="34">
        <f>IF(Q87=0,0,IF(Q83=1,'Input data'!$C$58*(Q87-P87*Q42/((1+Q23/100)*(1+Q41/100))),0))</f>
        <v>5.1318591921874406</v>
      </c>
      <c r="R91" s="34">
        <f>IF(R87=0,0,IF(R83=1,'Input data'!$C$58*(R87-Q87*R42/((1+R23/100)*(1+R41/100))),0))</f>
        <v>5.3936735641545814</v>
      </c>
      <c r="S91" s="34">
        <f>IF(S87=0,0,IF(S83=1,'Input data'!$C$58*(S87-R87*S42/((1+S23/100)*(1+S41/100))),0))</f>
        <v>5.6391611916047069</v>
      </c>
      <c r="T91" s="34">
        <f>IF(T87=0,0,IF(T83=1,'Input data'!$C$58*(T87-S87*T42/((1+T23/100)*(1+T41/100))),0))</f>
        <v>5.9365104707644392</v>
      </c>
      <c r="U91" s="34">
        <f>IF(U87=0,0,IF(U83=1,'Input data'!$C$58*(U87-T87*U42/((1+U23/100)*(1+U41/100))),0))</f>
        <v>6.2660029607772438</v>
      </c>
      <c r="V91" s="34">
        <f>IF(V87=0,0,IF(V83=1,'Input data'!$C$58*(V87-U87*V42/((1+V23/100)*(1+V41/100))),0))</f>
        <v>6.546928946113364</v>
      </c>
      <c r="W91" s="34">
        <f>IF(W87=0,0,IF(W83=1,'Input data'!$C$58*(W87-V87*W42/((1+W23/100)*(1+W41/100))),0))</f>
        <v>6.8353998913281204</v>
      </c>
    </row>
    <row r="92" spans="2:23" x14ac:dyDescent="0.2">
      <c r="B92" s="107" t="s">
        <v>131</v>
      </c>
      <c r="C92" s="49"/>
      <c r="D92" s="255">
        <f>'Input data'!C70*$D$87</f>
        <v>9.275580614555777E-2</v>
      </c>
      <c r="E92" s="49">
        <f>IF(E87=0,0,IF(E83=1,'Input data'!$C$57*(E87-D87*E42/((1+E23/100)*(1+E41/100))),0))</f>
        <v>0.1099570828526675</v>
      </c>
      <c r="F92" s="49">
        <f>IF(F87=0,0,IF(F83=1,'Input data'!$C$57*(F87-E87*F42/((1+F23/100)*(1+F41/100))),0))</f>
        <v>7.7433204875281783E-2</v>
      </c>
      <c r="G92" s="49">
        <f>IF(G87=0,0,IF(G83=1,'Input data'!$C$57*(G87-F87*G42/((1+G23/100)*(1+G41/100))),0))</f>
        <v>7.4644315489921925E-2</v>
      </c>
      <c r="H92" s="49">
        <f>IF(H87=0,0,IF(H83=1,'Input data'!$C$57*(H87-G87*H42/((1+H23/100)*(1+H41/100))),0))</f>
        <v>7.8474670492469062E-2</v>
      </c>
      <c r="I92" s="49">
        <f>IF(I87=0,0,IF(I83=1,'Input data'!$C$57*(I87-H87*I42/((1+I23/100)*(1+I41/100))),0))</f>
        <v>9.2748700561605321E-2</v>
      </c>
      <c r="J92" s="49">
        <f>IF(J87=0,0,IF(J83=1,'Input data'!$C$57*(J87-I87*J42/((1+J23/100)*(1+J41/100))),0))</f>
        <v>0.10462612584598262</v>
      </c>
      <c r="K92" s="49">
        <f>IF(K87=0,0,IF(K83=1,'Input data'!$C$57*(K87-J87*K42/((1+K23/100)*(1+K41/100))),0))</f>
        <v>0.11183780525323879</v>
      </c>
      <c r="L92" s="49">
        <f>IF(L87=0,0,IF(L83=1,'Input data'!$C$57*(L87-K87*L42/((1+L23/100)*(1+L41/100))),0))</f>
        <v>0.11905266234303705</v>
      </c>
      <c r="M92" s="49">
        <f>IF(M87=0,0,IF(M83=1,'Input data'!$C$57*(M87-L87*M42/((1+M23/100)*(1+M41/100))),0))</f>
        <v>0.12623357338245461</v>
      </c>
      <c r="N92" s="49">
        <f>IF(N87=0,0,IF(N83=1,'Input data'!$C$57*(N87-M87*N42/((1+N23/100)*(1+N41/100))),0))</f>
        <v>0.13326247518044351</v>
      </c>
      <c r="O92" s="49">
        <f>IF(O87=0,0,IF(O83=1,'Input data'!$C$57*(O87-N87*O42/((1+O23/100)*(1+O41/100))),0))</f>
        <v>0.14180766379136106</v>
      </c>
      <c r="P92" s="49">
        <f>IF(P87=0,0,IF(P83=1,'Input data'!$C$57*(P87-O87*P42/((1+P23/100)*(1+P41/100))),0))</f>
        <v>0.14878008080035718</v>
      </c>
      <c r="Q92" s="49">
        <f>IF(Q87=0,0,IF(Q83=1,'Input data'!$C$57*(Q87-P87*Q42/((1+Q23/100)*(1+Q41/100))),0))</f>
        <v>0.15736063698157315</v>
      </c>
      <c r="R92" s="49">
        <f>IF(R87=0,0,IF(R83=1,'Input data'!$C$57*(R87-Q87*R42/((1+R23/100)*(1+R41/100))),0))</f>
        <v>0.16538877547890374</v>
      </c>
      <c r="S92" s="49">
        <f>IF(S87=0,0,IF(S83=1,'Input data'!$C$57*(S87-R87*S42/((1+S23/100)*(1+S41/100))),0))</f>
        <v>0.17291627925091993</v>
      </c>
      <c r="T92" s="49">
        <f>IF(T87=0,0,IF(T83=1,'Input data'!$C$57*(T87-S87*T42/((1+T23/100)*(1+T41/100))),0))</f>
        <v>0.18203404149307575</v>
      </c>
      <c r="U92" s="49">
        <f>IF(U87=0,0,IF(U83=1,'Input data'!$C$57*(U87-T87*U42/((1+U23/100)*(1+U41/100))),0))</f>
        <v>0.19213742628352226</v>
      </c>
      <c r="V92" s="49">
        <f>IF(V87=0,0,IF(V83=1,'Input data'!$C$57*(V87-U87*V42/((1+V23/100)*(1+V41/100))),0))</f>
        <v>0.20075159326309694</v>
      </c>
      <c r="W92" s="49">
        <f>IF(W87=0,0,IF(W83=1,'Input data'!$C$57*(W87-V87*W42/((1+W23/100)*(1+W41/100))),0))</f>
        <v>0.20959711493266589</v>
      </c>
    </row>
    <row r="93" spans="2:23" x14ac:dyDescent="0.2">
      <c r="B93" s="26" t="s">
        <v>73</v>
      </c>
      <c r="C93" s="36"/>
      <c r="D93" s="36">
        <f>1-D94</f>
        <v>2.1505382130210027E-2</v>
      </c>
      <c r="E93" s="36">
        <f>IF(E87&lt;&gt;0,(E90+E92)/(E88+E89+E90+E91+E92),0)</f>
        <v>2.1945656661284028E-2</v>
      </c>
      <c r="F93" s="36">
        <f t="shared" ref="F93" si="45">IF(F87&lt;&gt;0,(F90+F92)/(F88+F89+F90+F91+F92),0)</f>
        <v>2.2244090424656682E-2</v>
      </c>
      <c r="G93" s="36">
        <f>IF(G87&lt;&gt;0,(G90+G92)/(G88+G89+G90+G91+G92),0)</f>
        <v>2.2526517950585263E-2</v>
      </c>
      <c r="H93" s="36">
        <f>IF(H87&lt;&gt;0,(H90+H92)/(H88+H89+H90+H91+H92),0)</f>
        <v>2.281471754748873E-2</v>
      </c>
      <c r="I93" s="36">
        <f t="shared" ref="I93:W93" si="46">IF(I87&lt;&gt;0,(I90+I92)/(I88+I89+I90+I91+I92),0)</f>
        <v>2.3141038593023865E-2</v>
      </c>
      <c r="J93" s="36">
        <f t="shared" si="46"/>
        <v>2.3489541987416616E-2</v>
      </c>
      <c r="K93" s="36">
        <f t="shared" si="46"/>
        <v>2.3839764670533468E-2</v>
      </c>
      <c r="L93" s="36">
        <f t="shared" si="46"/>
        <v>2.4187802950909408E-2</v>
      </c>
      <c r="M93" s="36">
        <f>IF(M87&lt;&gt;0,(M90+M92)/(M88+M89+M90+M91+M92),0)</f>
        <v>2.4530025592187438E-2</v>
      </c>
      <c r="N93" s="36">
        <f t="shared" si="46"/>
        <v>2.4863104548847961E-2</v>
      </c>
      <c r="O93" s="36">
        <f t="shared" si="46"/>
        <v>2.5188019750872724E-2</v>
      </c>
      <c r="P93" s="36">
        <f t="shared" si="46"/>
        <v>2.5498651121744105E-2</v>
      </c>
      <c r="Q93" s="36">
        <f t="shared" si="46"/>
        <v>2.5796471628605148E-2</v>
      </c>
      <c r="R93" s="36">
        <f t="shared" si="46"/>
        <v>2.6078804449144954E-2</v>
      </c>
      <c r="S93" s="36">
        <f t="shared" si="46"/>
        <v>2.6344197451728266E-2</v>
      </c>
      <c r="T93" s="36">
        <f t="shared" si="46"/>
        <v>2.6594513055878854E-2</v>
      </c>
      <c r="U93" s="36">
        <f t="shared" si="46"/>
        <v>2.6830291219661833E-2</v>
      </c>
      <c r="V93" s="36">
        <f t="shared" si="46"/>
        <v>2.704942564956795E-2</v>
      </c>
      <c r="W93" s="36">
        <f t="shared" si="46"/>
        <v>2.7252592803829537E-2</v>
      </c>
    </row>
    <row r="94" spans="2:23" x14ac:dyDescent="0.2">
      <c r="B94" s="35" t="s">
        <v>74</v>
      </c>
      <c r="C94" s="108"/>
      <c r="D94" s="108">
        <f>(D88+D89+D91)/D87</f>
        <v>0.97849461786978997</v>
      </c>
      <c r="E94" s="108">
        <f t="shared" ref="E94:F94" si="47">IF(E87&lt;&gt;0,(E88+E89+E91)/(E88+E89+E90+E91+E92),1)</f>
        <v>0.97805434333871588</v>
      </c>
      <c r="F94" s="108">
        <f t="shared" si="47"/>
        <v>0.97775590957534342</v>
      </c>
      <c r="G94" s="108">
        <f>IF(G87&lt;&gt;0,(G88+G89+G91)/(G88+G89+G90+G91+G92),1)</f>
        <v>0.97747348204941475</v>
      </c>
      <c r="H94" s="108">
        <f>IF(H87&lt;&gt;0,(H88+H89+H91)/(H88+H89+H90+H91+H92),1)</f>
        <v>0.97718528245251124</v>
      </c>
      <c r="I94" s="108">
        <f t="shared" ref="I94:W94" si="48">IF(I87&lt;&gt;0,(I88+I89+I91)/(I88+I89+I90+I91+I92),1)</f>
        <v>0.97685896140697603</v>
      </c>
      <c r="J94" s="108">
        <f t="shared" si="48"/>
        <v>0.9765104580125834</v>
      </c>
      <c r="K94" s="108">
        <f t="shared" si="48"/>
        <v>0.9761602353294665</v>
      </c>
      <c r="L94" s="108">
        <f t="shared" si="48"/>
        <v>0.97581219704909061</v>
      </c>
      <c r="M94" s="108">
        <f t="shared" si="48"/>
        <v>0.97546997440781269</v>
      </c>
      <c r="N94" s="108">
        <f t="shared" si="48"/>
        <v>0.97513689545115212</v>
      </c>
      <c r="O94" s="108">
        <f t="shared" si="48"/>
        <v>0.97481198024912752</v>
      </c>
      <c r="P94" s="108">
        <f t="shared" si="48"/>
        <v>0.97450134887825601</v>
      </c>
      <c r="Q94" s="108">
        <f t="shared" si="48"/>
        <v>0.97420352837139468</v>
      </c>
      <c r="R94" s="108">
        <f t="shared" si="48"/>
        <v>0.9739211955508551</v>
      </c>
      <c r="S94" s="108">
        <f t="shared" si="48"/>
        <v>0.973655802548272</v>
      </c>
      <c r="T94" s="108">
        <f t="shared" si="48"/>
        <v>0.9734054869441211</v>
      </c>
      <c r="U94" s="108">
        <f t="shared" si="48"/>
        <v>0.97316970878033815</v>
      </c>
      <c r="V94" s="108">
        <f t="shared" si="48"/>
        <v>0.97295057435043208</v>
      </c>
      <c r="W94" s="108">
        <f t="shared" si="48"/>
        <v>0.97274740719617048</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1.7379089999999999</v>
      </c>
      <c r="D96" s="115">
        <f>D35</f>
        <v>1.6448419999999999</v>
      </c>
      <c r="E96" s="115">
        <f>E98+E99</f>
        <v>1.8992169999999999</v>
      </c>
      <c r="F96" s="115">
        <f>F98+F99</f>
        <v>2.1593610000000001</v>
      </c>
      <c r="G96" s="115">
        <f>G98+G99</f>
        <v>2.1774469999999999</v>
      </c>
      <c r="H96" s="115">
        <f>H98+H99</f>
        <v>2.2821744286427554</v>
      </c>
      <c r="I96" s="115">
        <f t="shared" ref="I96:W96" si="49">I98+I99</f>
        <v>2.3831312593714915</v>
      </c>
      <c r="J96" s="115">
        <f t="shared" si="49"/>
        <v>2.4869293334690474</v>
      </c>
      <c r="K96" s="115">
        <f t="shared" si="49"/>
        <v>2.5911343364407031</v>
      </c>
      <c r="L96" s="115">
        <f t="shared" si="49"/>
        <v>2.6929122077564425</v>
      </c>
      <c r="M96" s="115">
        <f t="shared" si="49"/>
        <v>2.7919120350458329</v>
      </c>
      <c r="N96" s="115">
        <f t="shared" si="49"/>
        <v>2.8878587962002942</v>
      </c>
      <c r="O96" s="115">
        <f t="shared" si="49"/>
        <v>2.9805451534838743</v>
      </c>
      <c r="P96" s="115">
        <f t="shared" si="49"/>
        <v>3.0654232340731533</v>
      </c>
      <c r="Q96" s="115">
        <f t="shared" si="49"/>
        <v>3.142438306408883</v>
      </c>
      <c r="R96" s="115">
        <f t="shared" si="49"/>
        <v>3.2125664343621496</v>
      </c>
      <c r="S96" s="115">
        <f t="shared" si="49"/>
        <v>3.2761896403861943</v>
      </c>
      <c r="T96" s="115">
        <f t="shared" si="49"/>
        <v>3.3338118536334638</v>
      </c>
      <c r="U96" s="115">
        <f t="shared" si="49"/>
        <v>3.3862620676684179</v>
      </c>
      <c r="V96" s="115">
        <f t="shared" si="49"/>
        <v>3.4341326427138559</v>
      </c>
      <c r="W96" s="115">
        <f t="shared" si="49"/>
        <v>3.4776692382758161</v>
      </c>
    </row>
    <row r="97" spans="2:25" x14ac:dyDescent="0.2">
      <c r="B97" s="33" t="s">
        <v>133</v>
      </c>
      <c r="C97" s="1"/>
      <c r="D97" s="34"/>
      <c r="E97" s="266">
        <f>((E35*D87)-(E37*D90+D92))/(D88+D89+D91)</f>
        <v>1.8687517187604943</v>
      </c>
      <c r="F97" s="266">
        <f>((F35*E87)-(F37*E90+E92))/(E88+E89+E91)</f>
        <v>2.132003645914367</v>
      </c>
      <c r="G97" s="266">
        <f>((G35*F87)-(G37*F90+F92))/(F88+F89+F91)</f>
        <v>2.1650244152588192</v>
      </c>
      <c r="H97" s="34">
        <f t="shared" ref="H97:W97" si="50">IF(G87&gt;0,(G97*G88+H36*(G91+G89))/(G88+G89+G91),H36)</f>
        <v>2.2701235104929878</v>
      </c>
      <c r="I97" s="34">
        <f t="shared" si="50"/>
        <v>2.3735431320772511</v>
      </c>
      <c r="J97" s="34">
        <f t="shared" si="50"/>
        <v>2.4799270620023144</v>
      </c>
      <c r="K97" s="34">
        <f t="shared" si="50"/>
        <v>2.5868021520385076</v>
      </c>
      <c r="L97" s="34">
        <f t="shared" si="50"/>
        <v>2.6912750885274312</v>
      </c>
      <c r="M97" s="34">
        <f t="shared" si="50"/>
        <v>2.7929841075914763</v>
      </c>
      <c r="N97" s="34">
        <f t="shared" si="50"/>
        <v>2.8916429783254047</v>
      </c>
      <c r="O97" s="34">
        <f t="shared" si="50"/>
        <v>2.9870330067417856</v>
      </c>
      <c r="P97" s="34">
        <f t="shared" si="50"/>
        <v>3.0751292808357187</v>
      </c>
      <c r="Q97" s="34">
        <f t="shared" si="50"/>
        <v>3.1552322874371281</v>
      </c>
      <c r="R97" s="34">
        <f t="shared" si="50"/>
        <v>3.2283320922585101</v>
      </c>
      <c r="S97" s="34">
        <f t="shared" si="50"/>
        <v>3.2948082440848401</v>
      </c>
      <c r="T97" s="34">
        <f t="shared" si="50"/>
        <v>3.3551664319509396</v>
      </c>
      <c r="U97" s="34">
        <f t="shared" si="50"/>
        <v>3.4102499719707255</v>
      </c>
      <c r="V97" s="34">
        <f t="shared" si="50"/>
        <v>3.4606597861505284</v>
      </c>
      <c r="W97" s="34">
        <f t="shared" si="50"/>
        <v>3.506638760938646</v>
      </c>
    </row>
    <row r="98" spans="2:25" x14ac:dyDescent="0.2">
      <c r="B98" s="26" t="s">
        <v>134</v>
      </c>
      <c r="C98" s="34"/>
      <c r="D98" s="34"/>
      <c r="E98" s="266">
        <f>E35</f>
        <v>1.8992169999999999</v>
      </c>
      <c r="F98" s="266">
        <f>F35</f>
        <v>2.1593610000000001</v>
      </c>
      <c r="G98" s="266">
        <f>G35</f>
        <v>2.1774469999999999</v>
      </c>
      <c r="H98" s="34">
        <f t="shared" ref="H98:W98" si="51">(H97*(G88+G89+G91)+H37*(G90+G92))/G87</f>
        <v>2.2821744286427554</v>
      </c>
      <c r="I98" s="34">
        <f t="shared" si="51"/>
        <v>2.3831312593714915</v>
      </c>
      <c r="J98" s="34">
        <f t="shared" si="51"/>
        <v>2.4869293334690474</v>
      </c>
      <c r="K98" s="34">
        <f t="shared" si="51"/>
        <v>2.5911343364407031</v>
      </c>
      <c r="L98" s="34">
        <f t="shared" si="51"/>
        <v>2.6929122077564425</v>
      </c>
      <c r="M98" s="34">
        <f t="shared" si="51"/>
        <v>2.7919120350458329</v>
      </c>
      <c r="N98" s="34">
        <f t="shared" si="51"/>
        <v>2.8878587962002942</v>
      </c>
      <c r="O98" s="34">
        <f t="shared" si="51"/>
        <v>2.9805451534838743</v>
      </c>
      <c r="P98" s="34">
        <f t="shared" si="51"/>
        <v>3.0654232340731533</v>
      </c>
      <c r="Q98" s="34">
        <f t="shared" si="51"/>
        <v>3.142438306408883</v>
      </c>
      <c r="R98" s="34">
        <f t="shared" si="51"/>
        <v>3.2125664343621496</v>
      </c>
      <c r="S98" s="34">
        <f t="shared" si="51"/>
        <v>3.2761896403861943</v>
      </c>
      <c r="T98" s="34">
        <f t="shared" si="51"/>
        <v>3.3338118536334638</v>
      </c>
      <c r="U98" s="34">
        <f t="shared" si="51"/>
        <v>3.3862620676684179</v>
      </c>
      <c r="V98" s="34">
        <f t="shared" si="51"/>
        <v>3.4341326427138559</v>
      </c>
      <c r="W98" s="34">
        <f t="shared" si="51"/>
        <v>3.4776692382758161</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-8.4474867832985296</v>
      </c>
      <c r="D101" s="115">
        <f t="shared" si="54"/>
        <v>-6.835895357772614</v>
      </c>
      <c r="E101" s="115">
        <f t="shared" si="54"/>
        <v>-7.87548814040675</v>
      </c>
      <c r="F101" s="115">
        <f t="shared" si="54"/>
        <v>-3.373363845497146</v>
      </c>
      <c r="G101" s="115">
        <f t="shared" si="54"/>
        <v>-3.6656689470151882</v>
      </c>
      <c r="H101" s="115">
        <f t="shared" si="54"/>
        <v>-2.6327503091612026</v>
      </c>
      <c r="I101" s="115">
        <f t="shared" si="54"/>
        <v>-2.2203786482053678</v>
      </c>
      <c r="J101" s="115">
        <f t="shared" si="54"/>
        <v>-2.2787720471311612</v>
      </c>
      <c r="K101" s="115">
        <f t="shared" si="54"/>
        <v>-2.4107583226751106</v>
      </c>
      <c r="L101" s="115">
        <f t="shared" si="54"/>
        <v>-2.2630203056839715</v>
      </c>
      <c r="M101" s="115">
        <f t="shared" si="54"/>
        <v>-2.098748854348953</v>
      </c>
      <c r="N101" s="115">
        <f t="shared" si="54"/>
        <v>-1.9475852098917112</v>
      </c>
      <c r="O101" s="115">
        <f t="shared" si="54"/>
        <v>-1.8198704087245887</v>
      </c>
      <c r="P101" s="115">
        <f t="shared" si="54"/>
        <v>-1.6006038653996857</v>
      </c>
      <c r="Q101" s="115">
        <f t="shared" si="54"/>
        <v>-1.388297001971095</v>
      </c>
      <c r="R101" s="115">
        <f t="shared" si="54"/>
        <v>-1.18204226219496</v>
      </c>
      <c r="S101" s="115">
        <f t="shared" si="54"/>
        <v>-1.0404403158351228</v>
      </c>
      <c r="T101" s="115">
        <f t="shared" si="54"/>
        <v>-0.86139909874545229</v>
      </c>
      <c r="U101" s="115">
        <f t="shared" si="54"/>
        <v>-0.6764875468912912</v>
      </c>
      <c r="V101" s="115">
        <f t="shared" si="54"/>
        <v>-0.4774644860267685</v>
      </c>
      <c r="W101" s="115">
        <f t="shared" si="54"/>
        <v>-0.31953607288973673</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74.367679999999993</v>
      </c>
      <c r="D106" s="34">
        <v>72.475949999999997</v>
      </c>
      <c r="E106" s="34">
        <v>69.219570000000004</v>
      </c>
      <c r="F106" s="34">
        <v>68.07347</v>
      </c>
      <c r="G106" s="34">
        <v>66.689580000000007</v>
      </c>
      <c r="H106" s="34">
        <v>66.121489999999994</v>
      </c>
      <c r="I106" s="34">
        <v>66.264790000000005</v>
      </c>
      <c r="J106" s="34">
        <v>66.699129999999997</v>
      </c>
      <c r="K106" s="34">
        <v>67.205309999999997</v>
      </c>
      <c r="L106" s="34">
        <v>67.962720000000004</v>
      </c>
      <c r="M106" s="34">
        <v>68.971310000000003</v>
      </c>
      <c r="N106" s="34">
        <v>70.208299999999994</v>
      </c>
      <c r="O106" s="34">
        <v>71.701260000000005</v>
      </c>
      <c r="P106" s="34">
        <v>73.455269999999999</v>
      </c>
      <c r="Q106" s="34">
        <v>75.517150000000001</v>
      </c>
      <c r="R106" s="34">
        <v>77.860190000000003</v>
      </c>
      <c r="S106" s="34">
        <v>80.417339999999996</v>
      </c>
      <c r="T106" s="34">
        <v>83.270470000000003</v>
      </c>
      <c r="U106" s="34">
        <v>86.455799999999996</v>
      </c>
      <c r="V106" s="34">
        <v>89.933400000000006</v>
      </c>
      <c r="W106" s="34">
        <v>93.677679999999995</v>
      </c>
    </row>
    <row r="107" spans="2:25" x14ac:dyDescent="0.2">
      <c r="B107" s="26" t="s">
        <v>132</v>
      </c>
      <c r="C107" s="34">
        <v>1.7379089999999999</v>
      </c>
      <c r="D107" s="34">
        <v>1.6448419999999999</v>
      </c>
      <c r="E107" s="34">
        <v>1.8992169999999999</v>
      </c>
      <c r="F107" s="34">
        <v>2.1593610000000001</v>
      </c>
      <c r="G107" s="34">
        <v>2.1774469999999999</v>
      </c>
      <c r="H107" s="34">
        <v>2.2802980000000002</v>
      </c>
      <c r="I107" s="34">
        <v>2.3814139999999999</v>
      </c>
      <c r="J107" s="34">
        <v>2.4853719999999999</v>
      </c>
      <c r="K107" s="34">
        <v>2.589734</v>
      </c>
      <c r="L107" s="34">
        <v>2.6916579999999999</v>
      </c>
      <c r="M107" s="34">
        <v>2.7907950000000001</v>
      </c>
      <c r="N107" s="34">
        <v>2.8868680000000002</v>
      </c>
      <c r="O107" s="34">
        <v>2.9796710000000002</v>
      </c>
      <c r="P107" s="34">
        <v>3.0646550000000001</v>
      </c>
      <c r="Q107" s="34">
        <v>3.1417649999999999</v>
      </c>
      <c r="R107" s="34">
        <v>3.2119780000000002</v>
      </c>
      <c r="S107" s="34">
        <v>3.2756769999999999</v>
      </c>
      <c r="T107" s="34">
        <v>3.3333650000000001</v>
      </c>
      <c r="U107" s="34">
        <v>3.3858739999999998</v>
      </c>
      <c r="V107" s="34">
        <v>3.4337960000000001</v>
      </c>
      <c r="W107" s="34">
        <v>3.4773779999999999</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SI</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-4.6923700000000004</v>
      </c>
      <c r="D12" s="2">
        <f>'Input data'!D13</f>
        <v>-3.2634059999999998</v>
      </c>
      <c r="E12" s="2">
        <f>'Input data'!E13</f>
        <v>-1.555059</v>
      </c>
      <c r="F12" s="2">
        <f>'Input data'!F13</f>
        <v>-1.244675</v>
      </c>
      <c r="G12" s="3">
        <f>IF(G10&lt;=$C$6,
IF(AND(F87=1,F77&lt;=-3.05,'Criteria results'!$F$6&lt;0.5),F12+0.5,
IF(AND(F78&lt;=-1.55,'Criteria results'!$F$5=4,'Criteria results'!$F$6&lt;0.4),F12+0.4,
IF(AND(F78&lt;=-1.55,'Criteria results'!$F$5=7,'Criteria results'!$F$6&lt;0.25),F12+0.25,
F12+'Criteria results'!$F$6))),F12)</f>
        <v>-0.80467500000000003</v>
      </c>
      <c r="H12" s="3">
        <f>IF(H10&lt;=$C$6,
IF(AND(G87=1,G77&lt;=-3.05,'Criteria results'!$F$6&lt;0.5),G12+0.5,
IF(AND(G78&lt;=-1.55,'Criteria results'!$F$5=4,'Criteria results'!$F$6&lt;0.4),G12+0.4,
IF(AND(G78&lt;=-1.55,'Criteria results'!$F$5=7,'Criteria results'!$F$6&lt;0.25),G12+0.25,
G12+'Criteria results'!$F$6))),G12)</f>
        <v>-0.36467500000000003</v>
      </c>
      <c r="I12" s="3">
        <f>IF(I10&lt;=$C$6,
IF(AND(H87=1,H77&lt;=-3.05,'Criteria results'!$F$6&lt;0.5),H12+0.5,
IF(AND(H78&lt;=-1.55,'Criteria results'!$F$5=4,'Criteria results'!$F$6&lt;0.4),H12+0.4,
IF(AND(H78&lt;=-1.55,'Criteria results'!$F$5=7,'Criteria results'!$F$6&lt;0.25),H12+0.25,
H12+'Criteria results'!$F$6))),H12)</f>
        <v>7.5324999999999975E-2</v>
      </c>
      <c r="J12" s="3">
        <f>IF(J10&lt;=$C$6,
IF(AND(I87=1,I77&lt;=-3.05,'Criteria results'!$F$6&lt;0.5+J91),I12+0.5+J91,
IF(AND(I78&lt;=-1.55,'Criteria results'!$F$5=4,'Criteria results'!$F$6&lt;0.4),I12+0.4,
IF(AND(I78&lt;=-1.55,'Criteria results'!$F$5=7,'Criteria results'!$F$6&lt;0.25),I12+0.25,
I12+'Criteria results'!$F$6))),I12)</f>
        <v>0.51532500000000003</v>
      </c>
      <c r="K12" s="119">
        <f>IF(K10&lt;=$C$6,
IF(AND(J87=1,J77&lt;=-3.05,'Criteria results'!$F$6&lt;0.5+K91),J12+0.5+K91,
IF(AND(J78&lt;=-1.55,'Criteria results'!$F$5=4,'Criteria results'!$F$6&lt;0.4),J12+0.4,
IF(AND(J78&lt;=-1.55,'Criteria results'!$F$5=7,'Criteria results'!$F$6&lt;0.25),J12+0.25,
J12+'Criteria results'!$F$6))),J12)</f>
        <v>0.51532500000000003</v>
      </c>
      <c r="L12" s="119">
        <f>IF(L10&lt;=$C$6,
IF(AND(K87=1,K77&lt;=-3.05,'Criteria results'!$F$6&lt;0.5+L91),K12+0.5+L91,
IF(AND(K78&lt;=-1.55,'Criteria results'!$F$5=4,'Criteria results'!$F$6&lt;0.4),K12+0.4,
IF(AND(K78&lt;=-1.55,'Criteria results'!$F$5=7,'Criteria results'!$F$6&lt;0.25),K12+0.25,
K12+'Criteria results'!$F$6))),K12)</f>
        <v>0.51532500000000003</v>
      </c>
      <c r="M12" s="119">
        <f>IF(M10&lt;=$C$6,
IF(AND(L87=1,L77&lt;=-3.05,'Criteria results'!$F$6&lt;0.5+M91),L12+0.5+M91,
IF(AND(L78&lt;=-1.55,'Criteria results'!$F$5=4,'Criteria results'!$F$6&lt;0.4),L12+0.4,
IF(AND(L78&lt;=-1.55,'Criteria results'!$F$5=7,'Criteria results'!$F$6&lt;0.25),L12+0.25,
L12+'Criteria results'!$F$6))),L12)</f>
        <v>0.51532500000000003</v>
      </c>
      <c r="N12" s="119">
        <f>M12</f>
        <v>0.51532500000000003</v>
      </c>
      <c r="O12" s="119">
        <f t="shared" ref="O12:W12" si="0">N12</f>
        <v>0.51532500000000003</v>
      </c>
      <c r="P12" s="119">
        <f t="shared" si="0"/>
        <v>0.51532500000000003</v>
      </c>
      <c r="Q12" s="119">
        <f t="shared" si="0"/>
        <v>0.51532500000000003</v>
      </c>
      <c r="R12" s="119">
        <f t="shared" si="0"/>
        <v>0.51532500000000003</v>
      </c>
      <c r="S12" s="119">
        <f t="shared" si="0"/>
        <v>0.51532500000000003</v>
      </c>
      <c r="T12" s="119">
        <f t="shared" si="0"/>
        <v>0.51532500000000003</v>
      </c>
      <c r="U12" s="119">
        <f t="shared" si="0"/>
        <v>0.51532500000000003</v>
      </c>
      <c r="V12" s="119">
        <f t="shared" si="0"/>
        <v>0.51532500000000003</v>
      </c>
      <c r="W12" s="119">
        <f t="shared" si="0"/>
        <v>0.51532500000000003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0.43999999999999995</v>
      </c>
      <c r="H13" s="263">
        <f t="shared" ref="H13:W13" si="1">H12-G12</f>
        <v>0.44</v>
      </c>
      <c r="I13" s="263">
        <f t="shared" si="1"/>
        <v>0.44</v>
      </c>
      <c r="J13" s="263">
        <f t="shared" si="1"/>
        <v>0.44000000000000006</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v>
      </c>
      <c r="D14" s="2">
        <f>'Input data'!D14</f>
        <v>0</v>
      </c>
      <c r="E14" s="2">
        <f>'Input data'!E14</f>
        <v>-0.40577220000000003</v>
      </c>
      <c r="F14" s="2">
        <f>'Input data'!F14</f>
        <v>-0.65215420000000002</v>
      </c>
      <c r="G14" s="2">
        <f>'Input data'!G14</f>
        <v>-0.47665220000000003</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-1.7974220000000001</v>
      </c>
      <c r="D15" s="2">
        <f>'Input data'!D15</f>
        <v>1.3303780000000001</v>
      </c>
      <c r="E15" s="2">
        <f>'Input data'!E15</f>
        <v>1.2366839999999999</v>
      </c>
      <c r="F15" s="2">
        <f>'Input data'!F15</f>
        <v>-0.20000760000000001</v>
      </c>
      <c r="G15" s="2">
        <f>'Input data'!G15</f>
        <v>-0.2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22.025169999999999</v>
      </c>
      <c r="E18" s="101">
        <f>'Input data'!E20</f>
        <v>22.097189999999998</v>
      </c>
      <c r="F18" s="101">
        <f>'Input data'!F20</f>
        <v>22.199599999999997</v>
      </c>
      <c r="G18" s="101">
        <f>'Input data'!G20</f>
        <v>22.362199999999998</v>
      </c>
      <c r="H18" s="101">
        <f>'Input data'!H20</f>
        <v>22.526659999999996</v>
      </c>
      <c r="I18" s="101">
        <f>'Input data'!I20</f>
        <v>22.697230000000001</v>
      </c>
      <c r="J18" s="101">
        <f>'Input data'!J20</f>
        <v>22.903919999999999</v>
      </c>
      <c r="K18" s="101">
        <f>'Input data'!K20</f>
        <v>23.074540000000002</v>
      </c>
      <c r="L18" s="101">
        <f>'Input data'!L20</f>
        <v>23.2395</v>
      </c>
      <c r="M18" s="101">
        <f>'Input data'!M20</f>
        <v>23.397020000000001</v>
      </c>
      <c r="N18" s="101">
        <f>'Input data'!N20</f>
        <v>23.54317</v>
      </c>
      <c r="O18" s="101">
        <f>'Input data'!O20</f>
        <v>23.73443</v>
      </c>
      <c r="P18" s="101">
        <f>'Input data'!P20</f>
        <v>23.866290000000003</v>
      </c>
      <c r="Q18" s="101">
        <f>'Input data'!Q20</f>
        <v>24.047149999999998</v>
      </c>
      <c r="R18" s="101">
        <f>'Input data'!R20</f>
        <v>24.20204</v>
      </c>
      <c r="S18" s="101">
        <f>'Input data'!S20</f>
        <v>24.33447</v>
      </c>
      <c r="T18" s="101">
        <f>'Input data'!T20</f>
        <v>24.513950000000001</v>
      </c>
      <c r="U18" s="101">
        <f>'Input data'!U20</f>
        <v>24.71762</v>
      </c>
      <c r="V18" s="101">
        <f>'Input data'!V20</f>
        <v>24.860289999999999</v>
      </c>
      <c r="W18" s="101">
        <f>'Input data'!W20</f>
        <v>25.002420000000001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0.60368690000000003</v>
      </c>
      <c r="D19" s="101">
        <f>'Input data'!D26</f>
        <v>0.70882940000000005</v>
      </c>
      <c r="E19" s="101">
        <f>'Input data'!E26</f>
        <v>0.70974680000000001</v>
      </c>
      <c r="F19" s="101">
        <f>'Input data'!F26</f>
        <v>0.71066430000000003</v>
      </c>
      <c r="G19" s="101">
        <f>'Input data'!G26</f>
        <v>0.71158169999999998</v>
      </c>
      <c r="H19" s="101">
        <f>'Input data'!H26</f>
        <v>0.71249910000000005</v>
      </c>
      <c r="I19" s="101">
        <f>'Input data'!I26</f>
        <v>0.71341659999999996</v>
      </c>
      <c r="J19" s="101">
        <f>'Input data'!J26</f>
        <v>0.71433409999999997</v>
      </c>
      <c r="K19" s="101">
        <f>'Input data'!K26</f>
        <v>0.71525159999999999</v>
      </c>
      <c r="L19" s="101">
        <f>'Input data'!L26</f>
        <v>0.71616900000000006</v>
      </c>
      <c r="M19" s="101">
        <f>'Input data'!M26</f>
        <v>0.71708649999999996</v>
      </c>
      <c r="N19" s="101">
        <f>'Input data'!N26</f>
        <v>0.71800399999999998</v>
      </c>
      <c r="O19" s="101">
        <f>'Input data'!O26</f>
        <v>0.71892140000000004</v>
      </c>
      <c r="P19" s="101">
        <f>'Input data'!P26</f>
        <v>0.71983889999999995</v>
      </c>
      <c r="Q19" s="101">
        <f>'Input data'!Q26</f>
        <v>0.72075639999999996</v>
      </c>
      <c r="R19" s="101">
        <f>'Input data'!R26</f>
        <v>0.72167380000000003</v>
      </c>
      <c r="S19" s="101">
        <f>'Input data'!S26</f>
        <v>0.72259130000000005</v>
      </c>
      <c r="T19" s="101">
        <f>'Input data'!T26</f>
        <v>0.7235087</v>
      </c>
      <c r="U19" s="101">
        <f>'Input data'!U26</f>
        <v>0.72442620000000002</v>
      </c>
      <c r="V19" s="101">
        <f>'Input data'!V26</f>
        <v>0.72534370000000004</v>
      </c>
      <c r="W19" s="101">
        <f>'Input data'!W26</f>
        <v>0.72626109999999999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47.094990000000003</v>
      </c>
      <c r="D23" s="100">
        <f>'Baseline NFPC'!D22</f>
        <v>48.253899746320805</v>
      </c>
      <c r="E23" s="100">
        <f>'Baseline NFPC'!E22</f>
        <v>49.019639433778181</v>
      </c>
      <c r="F23" s="100">
        <f>'Baseline NFPC'!F22</f>
        <v>50.16839360546382</v>
      </c>
      <c r="G23" s="34">
        <f>IF(AND(G50&gt;1,F50&gt;1),IF(AND(G50&gt;0,F50&gt;0),G27*(G51/100+1),0)+IF(G50&gt;0,F23*(1+G52/100),0)-F23*(1+'Input data'!G30/100),IF(G50=1,G27,F23*(1+G52/100)))</f>
        <v>51.515407448511489</v>
      </c>
      <c r="H23" s="34">
        <f>IF(AND(H50&gt;1,G50&gt;1),IF(AND(H50&gt;0,G50&gt;0),H27*(H51/100+1),0)+IF(H50&gt;0,G23*(1+H52/100),0)-G23*(1+'Input data'!H30/100),IF(H50=1,H27,G23*(1+H52/100)))</f>
        <v>52.471552047126728</v>
      </c>
      <c r="I23" s="34">
        <f>IF(AND(I50&gt;1,H50&gt;1),IF(AND(I50&gt;0,H50&gt;0),I27*(I51/100+1),0)+IF(I50&gt;0,H23*(1+I52/100),0)-H23*(1+'Input data'!I30/100),IF(I50=1,I27,H23*(1+I52/100)))</f>
        <v>53.482353824798402</v>
      </c>
      <c r="J23" s="34">
        <f>IF(AND(J50&gt;1,I50&gt;1),IF(AND(J50&gt;0,I50&gt;0),J27*(J51/100+1),0)+IF(J50&gt;0,I23*(1+J52/100),0)-I23*(1+'Input data'!J30/100),IF(J50=1,J27,I23*(1+J52/100)))</f>
        <v>54.556488884333646</v>
      </c>
      <c r="K23" s="34">
        <f>IF(AND(K50&gt;1,J50&gt;1),IF(AND(K50&gt;0,J50&gt;0),K27*(K51/100+1),0)+IF(K50&gt;0,J23*(1+K52/100),0)-J23*(1+'Input data'!K30/100),IF(K50=1,K27,J23*(1+K52/100)))</f>
        <v>55.892502814294431</v>
      </c>
      <c r="L23" s="34">
        <f>IF(AND(L50&gt;1,K50&gt;1),IF(AND(L50&gt;0,K50&gt;0),L27*(L51/100+1),0)+IF(L50&gt;0,K23*(1+L52/100),0)-K23*(1+'Input data'!L30/100),IF(L50=1,L27,K23*(1+L52/100)))</f>
        <v>57.259933656738397</v>
      </c>
      <c r="M23" s="34">
        <f>IF(AND(M50&gt;1,L50&gt;1),IF(AND(M50&gt;0,L50&gt;0),M27*(M51/100+1),0)+IF(M50&gt;0,L23*(1+M52/100),0)-L23*(1+'Input data'!M30/100),IF(M50=1,M27,L23*(1+M52/100)))</f>
        <v>58.648082640624835</v>
      </c>
      <c r="N23" s="34">
        <f>IF(AND(N50&gt;1,M50&gt;1),IF(AND(N50&gt;0,M50&gt;0),N27*(N51/100+1),0)+IF(N50&gt;0,M23*(1+N52/100),0)-M23*(1+'Input data'!N30/100),IF(N50=1,N27,M23*(1+N52/100)))</f>
        <v>59.97998763516334</v>
      </c>
      <c r="O23" s="34">
        <f>IF(AND(O50&gt;1,N50&gt;1),IF(AND(O50&gt;0,N50&gt;0),O27*(O51/100+1),0)+IF(O50&gt;0,N23*(1+O52/100),0)-N23*(1+'Input data'!O30/100),IF(O50=1,O27,N23*(1+O52/100)))</f>
        <v>61.348266108093597</v>
      </c>
      <c r="P23" s="34">
        <f>IF(AND(P50&gt;1,O50&gt;1),IF(AND(P50&gt;0,O50&gt;0),P27*(P51/100+1),0)+IF(P50&gt;0,O23*(1+P52/100),0)-O23*(1+'Input data'!P30/100),IF(P50=1,P27,O23*(1+P52/100)))</f>
        <v>62.676345028972172</v>
      </c>
      <c r="Q23" s="34">
        <f>IF(AND(Q50&gt;1,P50&gt;1),IF(AND(Q50&gt;0,P50&gt;0),Q27*(Q51/100+1),0)+IF(Q50&gt;0,P23*(1+Q52/100),0)-P23*(1+'Input data'!Q30/100),IF(Q50=1,Q27,P23*(1+Q52/100)))</f>
        <v>63.960215428470491</v>
      </c>
      <c r="R23" s="34">
        <f>IF(AND(R50&gt;1,Q50&gt;1),IF(AND(R50&gt;0,Q50&gt;0),R27*(R51/100+1),0)+IF(R50&gt;0,Q23*(1+R52/100),0)-Q23*(1+'Input data'!R30/100),IF(R50=1,R27,Q23*(1+R52/100)))</f>
        <v>65.195929348957151</v>
      </c>
      <c r="S23" s="34">
        <f>IF(AND(S50&gt;1,R50&gt;1),IF(AND(S50&gt;0,R50&gt;0),S27*(S51/100+1),0)+IF(S50&gt;0,R23*(1+S52/100),0)-R23*(1+'Input data'!S30/100),IF(S50=1,S27,R23*(1+S52/100)))</f>
        <v>66.419157542018269</v>
      </c>
      <c r="T23" s="34">
        <f>IF(AND(T50&gt;1,S50&gt;1),IF(AND(T50&gt;0,S50&gt;0),T27*(T51/100+1),0)+IF(T50&gt;0,S23*(1+T52/100),0)-S23*(1+'Input data'!T30/100),IF(T50=1,T27,S23*(1+T52/100)))</f>
        <v>67.598967015161321</v>
      </c>
      <c r="U23" s="34">
        <f>IF(AND(U50&gt;1,T50&gt;1),IF(AND(U50&gt;0,T50&gt;0),U27*(U51/100+1),0)+IF(U50&gt;0,T23*(1+U52/100),0)-T23*(1+'Input data'!U30/100),IF(U50=1,U27,T23*(1+U52/100)))</f>
        <v>68.72495895279485</v>
      </c>
      <c r="V23" s="34">
        <f>IF(AND(V50&gt;1,U50&gt;1),IF(AND(V50&gt;0,U50&gt;0),V27*(V51/100+1),0)+IF(V50&gt;0,U23*(1+V52/100),0)-U23*(1+'Input data'!V30/100),IF(V50=1,V27,U23*(1+V52/100)))</f>
        <v>69.781012100298312</v>
      </c>
      <c r="W23" s="34">
        <f>IF(AND(W50&gt;1,V50&gt;1),IF(AND(W50&gt;0,V50&gt;0),W27*(W51/100+1),0)+IF(W50&gt;0,V23*(1+W52/100),0)-V23*(1+'Input data'!W30/100),IF(W50=1,W27,V23*(1+W52/100)))</f>
        <v>70.789831307561471</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8.228491</v>
      </c>
      <c r="D24" s="100">
        <f>'Baseline NFPC'!D23</f>
        <v>2.4607920000000001</v>
      </c>
      <c r="E24" s="100">
        <f>'Baseline NFPC'!E23</f>
        <v>1.586897</v>
      </c>
      <c r="F24" s="100">
        <f>'Baseline NFPC'!F23</f>
        <v>2.3434569999999999</v>
      </c>
      <c r="G24" s="34">
        <f t="shared" ref="G24:S24" si="2">100*(G23/F23-1)</f>
        <v>2.6849850000000064</v>
      </c>
      <c r="H24" s="34">
        <f t="shared" si="2"/>
        <v>1.8560361763048983</v>
      </c>
      <c r="I24" s="34">
        <f t="shared" si="2"/>
        <v>1.9263805590576721</v>
      </c>
      <c r="J24" s="34">
        <f t="shared" si="2"/>
        <v>2.0083915211622561</v>
      </c>
      <c r="K24" s="34">
        <f t="shared" si="2"/>
        <v>2.4488634757879879</v>
      </c>
      <c r="L24" s="34">
        <f t="shared" si="2"/>
        <v>2.4465371446816819</v>
      </c>
      <c r="M24" s="34">
        <f t="shared" si="2"/>
        <v>2.4242937342682014</v>
      </c>
      <c r="N24" s="34">
        <f t="shared" si="2"/>
        <v>2.2710119999999945</v>
      </c>
      <c r="O24" s="34">
        <f t="shared" si="2"/>
        <v>2.2812250000000089</v>
      </c>
      <c r="P24" s="34">
        <f t="shared" si="2"/>
        <v>2.1648190000000067</v>
      </c>
      <c r="Q24" s="34">
        <f t="shared" si="2"/>
        <v>2.0484130000000045</v>
      </c>
      <c r="R24" s="34">
        <f t="shared" si="2"/>
        <v>1.9320039999999983</v>
      </c>
      <c r="S24" s="34">
        <f t="shared" si="2"/>
        <v>1.8762340000000099</v>
      </c>
      <c r="T24" s="34">
        <f>100*(T23/S23-1)</f>
        <v>1.7763090000000092</v>
      </c>
      <c r="U24" s="34">
        <f t="shared" ref="U24" si="3">100*(U23/T23-1)</f>
        <v>1.6656940000000064</v>
      </c>
      <c r="V24" s="34">
        <f t="shared" ref="V24" si="4">100*(V23/U23-1)</f>
        <v>1.5366369999999963</v>
      </c>
      <c r="W24" s="34">
        <f t="shared" ref="W24" si="5">100*(W23/V23-1)</f>
        <v>1.4456929999999923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45.770859999999999</v>
      </c>
      <c r="D27" s="100">
        <f>+C27*(1+'Input data'!D33/100)</f>
        <v>46.850570786552801</v>
      </c>
      <c r="E27" s="100">
        <f>+D27*(1+'Input data'!E33/100)</f>
        <v>48.25044991246093</v>
      </c>
      <c r="F27" s="100">
        <f>+E27*(1+'Input data'!F33/100)</f>
        <v>49.629799034234424</v>
      </c>
      <c r="G27" s="34">
        <f>+F27*(1+'Input data'!G33/100)</f>
        <v>51.057412114605945</v>
      </c>
      <c r="H27" s="34">
        <f>+G27*(1+'Input data'!H33/100)</f>
        <v>52.328620670192919</v>
      </c>
      <c r="I27" s="34">
        <f>+H27*(1+'Input data'!I33/100)</f>
        <v>53.55798375831845</v>
      </c>
      <c r="J27" s="34">
        <f>+I27*(1+'Input data'!J33/100)</f>
        <v>54.784555312855517</v>
      </c>
      <c r="K27" s="34">
        <f>+J27*(1+'Input data'!K33/100)</f>
        <v>56.04805370341812</v>
      </c>
      <c r="L27" s="34">
        <f>+K27*(1+'Input data'!L33/100)</f>
        <v>57.339501186760998</v>
      </c>
      <c r="M27" s="34">
        <f>+L27*(1+'Input data'!M33/100)</f>
        <v>58.648082640624835</v>
      </c>
      <c r="N27" s="34">
        <f>+M27*(1+'Input data'!N33/100)</f>
        <v>59.979985875720857</v>
      </c>
      <c r="O27" s="34">
        <f>+N27*(1+'Input data'!O33/100)</f>
        <v>61.348264308514274</v>
      </c>
      <c r="P27" s="34">
        <f>+O27*(1+'Input data'!P33/100)</f>
        <v>62.676343190435212</v>
      </c>
      <c r="Q27" s="34">
        <f>+P27*(1+'Input data'!Q33/100)</f>
        <v>63.960214179036136</v>
      </c>
      <c r="R27" s="34">
        <f>+Q27*(1+'Input data'!R33/100)</f>
        <v>65.195930633792244</v>
      </c>
      <c r="S27" s="34">
        <f>+R27*(1+'Input data'!S33/100)</f>
        <v>66.419158850959874</v>
      </c>
      <c r="T27" s="34">
        <f>+S27*(1+'Input data'!T33/100)</f>
        <v>67.598969675736953</v>
      </c>
      <c r="U27" s="34">
        <f>+T27*(1+'Input data'!U33/100)</f>
        <v>68.724963009666908</v>
      </c>
      <c r="V27" s="34">
        <f>+U27*(1+'Input data'!V33/100)</f>
        <v>69.781012783261616</v>
      </c>
      <c r="W27" s="34">
        <f>+V27*(1+'Input data'!W33/100)</f>
        <v>70.789835489448976</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2.8929541634131528</v>
      </c>
      <c r="D30" s="100">
        <f t="shared" ref="D30:T30" si="6">100*(D23/D27-1)</f>
        <v>2.9953294830951993</v>
      </c>
      <c r="E30" s="100">
        <f t="shared" si="6"/>
        <v>1.5941603087904044</v>
      </c>
      <c r="F30" s="100">
        <f t="shared" si="6"/>
        <v>1.0852241631239989</v>
      </c>
      <c r="G30" s="34">
        <f t="shared" si="6"/>
        <v>0.89702026588716066</v>
      </c>
      <c r="H30" s="34">
        <f t="shared" si="6"/>
        <v>0.27314187743385787</v>
      </c>
      <c r="I30" s="34">
        <f t="shared" si="6"/>
        <v>-0.14121131568606282</v>
      </c>
      <c r="J30" s="34">
        <f t="shared" si="6"/>
        <v>-0.41629694212075297</v>
      </c>
      <c r="K30" s="34">
        <f t="shared" si="6"/>
        <v>-0.27753129474717975</v>
      </c>
      <c r="L30" s="34">
        <f t="shared" si="6"/>
        <v>-0.13876564737359542</v>
      </c>
      <c r="M30" s="34">
        <f>100*(M23/M27-1)</f>
        <v>0</v>
      </c>
      <c r="N30" s="34">
        <f t="shared" si="6"/>
        <v>2.9333826256916495E-6</v>
      </c>
      <c r="O30" s="34">
        <f t="shared" si="6"/>
        <v>2.9333826256916495E-6</v>
      </c>
      <c r="P30" s="34">
        <f t="shared" si="6"/>
        <v>2.9333826256916495E-6</v>
      </c>
      <c r="Q30" s="34">
        <f t="shared" si="6"/>
        <v>1.9534555528721853E-6</v>
      </c>
      <c r="R30" s="34">
        <f t="shared" si="6"/>
        <v>-1.9707289689030461E-6</v>
      </c>
      <c r="S30" s="34">
        <f t="shared" si="6"/>
        <v>-1.9707289689030461E-6</v>
      </c>
      <c r="T30" s="34">
        <f t="shared" si="6"/>
        <v>-3.9358227565955417E-6</v>
      </c>
      <c r="U30" s="34">
        <f t="shared" ref="U30:W30" si="7">100*(U23/U27-1)</f>
        <v>-5.9030545562777093E-6</v>
      </c>
      <c r="V30" s="34">
        <f t="shared" si="7"/>
        <v>-9.7872369098084278E-7</v>
      </c>
      <c r="W30" s="34">
        <f t="shared" si="7"/>
        <v>-5.9074688807392306E-6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11.125195175352598</v>
      </c>
      <c r="D33" s="2">
        <f t="shared" si="8"/>
        <v>9.1030095661206456</v>
      </c>
      <c r="E33" s="2">
        <f t="shared" si="8"/>
        <v>10.610319602348994</v>
      </c>
      <c r="F33" s="2">
        <f>100*((1+F24/100)*(1+F42/100)-1)</f>
        <v>5.7258795976820487</v>
      </c>
      <c r="G33" s="1">
        <f>100*((1+G24/100)*(1+G42/100)-1)</f>
        <v>5.7256835341713552</v>
      </c>
      <c r="H33" s="1">
        <f t="shared" si="8"/>
        <v>4.8198350958001734</v>
      </c>
      <c r="I33" s="1">
        <f t="shared" si="8"/>
        <v>4.8398373409270778</v>
      </c>
      <c r="J33" s="1">
        <f t="shared" si="8"/>
        <v>4.8717613331892728</v>
      </c>
      <c r="K33" s="1">
        <f t="shared" si="8"/>
        <v>5.2719397475279317</v>
      </c>
      <c r="L33" s="1">
        <f t="shared" si="8"/>
        <v>5.2168929445775447</v>
      </c>
      <c r="M33" s="1">
        <f t="shared" si="8"/>
        <v>5.141403093904251</v>
      </c>
      <c r="N33" s="1">
        <f t="shared" si="8"/>
        <v>4.9314889556191011</v>
      </c>
      <c r="O33" s="1">
        <f t="shared" si="8"/>
        <v>4.8893962375000211</v>
      </c>
      <c r="P33" s="1">
        <f t="shared" si="8"/>
        <v>4.7419265592750115</v>
      </c>
      <c r="Q33" s="1">
        <f t="shared" si="8"/>
        <v>4.5945209043499968</v>
      </c>
      <c r="R33" s="1">
        <f t="shared" si="8"/>
        <v>4.4471761987000091</v>
      </c>
      <c r="S33" s="1">
        <f t="shared" si="8"/>
        <v>4.3620141095999987</v>
      </c>
      <c r="T33" s="1">
        <f t="shared" si="8"/>
        <v>4.231662454625007</v>
      </c>
      <c r="U33" s="1">
        <f>100*((1+U24/100)*(1+U42/100)-1)</f>
        <v>4.0904208019000077</v>
      </c>
      <c r="V33" s="1">
        <f t="shared" si="8"/>
        <v>3.9303632172749792</v>
      </c>
      <c r="W33" s="1">
        <f t="shared" si="8"/>
        <v>3.8093776468999918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1.7379089999999999</v>
      </c>
      <c r="D36" s="100">
        <f>'Input data'!D37</f>
        <v>1.6448419999999999</v>
      </c>
      <c r="E36" s="100">
        <f>'Input data'!E37</f>
        <v>1.8992169999999999</v>
      </c>
      <c r="F36" s="100">
        <f>'Input data'!F37</f>
        <v>2.1593610000000001</v>
      </c>
      <c r="G36" s="100">
        <f>'Input data'!G37</f>
        <v>2.1774469999999999</v>
      </c>
      <c r="H36" s="34">
        <f t="shared" ref="H36:W36" si="9">H109</f>
        <v>2.2733169841339604</v>
      </c>
      <c r="I36" s="34">
        <f t="shared" si="9"/>
        <v>2.3607475558071473</v>
      </c>
      <c r="J36" s="34">
        <f t="shared" si="9"/>
        <v>2.4431415909904963</v>
      </c>
      <c r="K36" s="34">
        <f t="shared" si="9"/>
        <v>2.5198266539528995</v>
      </c>
      <c r="L36" s="34">
        <f t="shared" si="9"/>
        <v>2.5973688159629482</v>
      </c>
      <c r="M36" s="34">
        <f t="shared" si="9"/>
        <v>2.6755489566848842</v>
      </c>
      <c r="N36" s="34">
        <f t="shared" si="9"/>
        <v>2.7541143960072425</v>
      </c>
      <c r="O36" s="34">
        <f t="shared" si="9"/>
        <v>2.8337065749049279</v>
      </c>
      <c r="P36" s="34">
        <f t="shared" si="9"/>
        <v>2.9108813628077219</v>
      </c>
      <c r="Q36" s="34">
        <f t="shared" si="9"/>
        <v>2.9844551995363542</v>
      </c>
      <c r="R36" s="34">
        <f t="shared" si="9"/>
        <v>3.0549671910119764</v>
      </c>
      <c r="S36" s="34">
        <f t="shared" si="9"/>
        <v>3.1219616741783081</v>
      </c>
      <c r="T36" s="34">
        <f t="shared" si="9"/>
        <v>3.1851678693625161</v>
      </c>
      <c r="U36" s="34">
        <f t="shared" si="9"/>
        <v>3.2450599286251043</v>
      </c>
      <c r="V36" s="34">
        <f t="shared" si="9"/>
        <v>3.3017809429073788</v>
      </c>
      <c r="W36" s="34">
        <f t="shared" si="9"/>
        <v>3.3548189146306986</v>
      </c>
    </row>
    <row r="37" spans="2:51" x14ac:dyDescent="0.2">
      <c r="B37" s="32" t="s">
        <v>94</v>
      </c>
      <c r="C37" s="1"/>
      <c r="D37" s="2">
        <f>'Input data'!D$39</f>
        <v>1.89</v>
      </c>
      <c r="E37" s="2">
        <f>'Input data'!E$39</f>
        <v>3.4</v>
      </c>
      <c r="F37" s="166">
        <f>'Input data'!F$39</f>
        <v>3.2130990000000001</v>
      </c>
      <c r="G37" s="166">
        <f>'Input data'!G$39</f>
        <v>3.2666849999999998</v>
      </c>
      <c r="H37" s="1">
        <f>G37+($O$37-$G$37)/($O$10-$G$10)</f>
        <v>3.3183456250000001</v>
      </c>
      <c r="I37" s="1">
        <f t="shared" ref="I37:N37" si="10">H37+($O$37-$G$37)/($O$10-$G$10)</f>
        <v>3.3700062500000003</v>
      </c>
      <c r="J37" s="1">
        <f t="shared" si="10"/>
        <v>3.4216668750000006</v>
      </c>
      <c r="K37" s="1">
        <f t="shared" si="10"/>
        <v>3.4733275000000008</v>
      </c>
      <c r="L37" s="1">
        <f t="shared" si="10"/>
        <v>3.524988125000001</v>
      </c>
      <c r="M37" s="1">
        <f t="shared" si="10"/>
        <v>3.5766487500000013</v>
      </c>
      <c r="N37" s="1">
        <f t="shared" si="10"/>
        <v>3.6283093750000015</v>
      </c>
      <c r="O37" s="252">
        <f>'Input data'!$C$52</f>
        <v>3.67997</v>
      </c>
      <c r="P37" s="1">
        <f>'Baseline NFPC'!P36</f>
        <v>3.6959714999999997</v>
      </c>
      <c r="Q37" s="1">
        <f>'Baseline NFPC'!Q36</f>
        <v>3.711973</v>
      </c>
      <c r="R37" s="1">
        <f>'Baseline NFPC'!R36</f>
        <v>3.7279745000000002</v>
      </c>
      <c r="S37" s="1">
        <f>'Baseline NFPC'!S36</f>
        <v>3.743976</v>
      </c>
      <c r="T37" s="1">
        <f>'Baseline NFPC'!T36</f>
        <v>3.7599774999999998</v>
      </c>
      <c r="U37" s="1">
        <f>'Baseline NFPC'!U36</f>
        <v>3.775979</v>
      </c>
      <c r="V37" s="1">
        <f>'Baseline NFPC'!V36</f>
        <v>3.7919805000000002</v>
      </c>
      <c r="W37" s="1">
        <f>'Baseline NFPC'!W36</f>
        <v>3.807982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11">H38+($O$38-$G$38)/($O$10-$G$10)</f>
        <v>2.7938037499999995</v>
      </c>
      <c r="J38" s="1">
        <f t="shared" si="11"/>
        <v>2.7825181249999993</v>
      </c>
      <c r="K38" s="1">
        <f t="shared" si="11"/>
        <v>2.7712324999999991</v>
      </c>
      <c r="L38" s="1">
        <f t="shared" si="11"/>
        <v>2.7599468749999989</v>
      </c>
      <c r="M38" s="1">
        <f t="shared" si="11"/>
        <v>2.7486612499999987</v>
      </c>
      <c r="N38" s="1">
        <f t="shared" si="11"/>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8.9708819999999995E-2</v>
      </c>
      <c r="D39" s="34">
        <f>'Baseline NFPC'!D38</f>
        <v>3.952174E-2</v>
      </c>
      <c r="E39" s="34">
        <f>'Baseline NFPC'!E38</f>
        <v>3.0137259999999999E-2</v>
      </c>
      <c r="F39" s="34">
        <f>'Baseline NFPC'!F38</f>
        <v>5.50765E-2</v>
      </c>
      <c r="G39" s="34">
        <f>'Baseline NFPC'!G38</f>
        <v>5.5870452222222221E-2</v>
      </c>
      <c r="H39" s="34">
        <f>'Baseline NFPC'!H38</f>
        <v>5.6664404444444441E-2</v>
      </c>
      <c r="I39" s="34">
        <f>'Baseline NFPC'!I38</f>
        <v>5.7458356666666668E-2</v>
      </c>
      <c r="J39" s="34">
        <f>'Baseline NFPC'!J38</f>
        <v>5.8252308888888889E-2</v>
      </c>
      <c r="K39" s="34">
        <f>'Baseline NFPC'!K38</f>
        <v>5.9046261111111109E-2</v>
      </c>
      <c r="L39" s="34">
        <f>'Baseline NFPC'!L38</f>
        <v>5.9840213333333329E-2</v>
      </c>
      <c r="M39" s="34">
        <f>'Baseline NFPC'!M38</f>
        <v>6.063416555555555E-2</v>
      </c>
      <c r="N39" s="34">
        <f>'Baseline NFPC'!N38</f>
        <v>6.1428117777777777E-2</v>
      </c>
      <c r="O39" s="34">
        <f>'Baseline NFPC'!O38</f>
        <v>6.2222069999999997E-2</v>
      </c>
      <c r="P39" s="34">
        <f>'Baseline NFPC'!P38</f>
        <v>6.2222069999999997E-2</v>
      </c>
      <c r="Q39" s="34">
        <f>'Baseline NFPC'!Q38</f>
        <v>6.2222069999999997E-2</v>
      </c>
      <c r="R39" s="34">
        <f>'Baseline NFPC'!R38</f>
        <v>6.2222069999999997E-2</v>
      </c>
      <c r="S39" s="34">
        <f>'Baseline NFPC'!S38</f>
        <v>6.2222069999999997E-2</v>
      </c>
      <c r="T39" s="34">
        <f>'Baseline NFPC'!T38</f>
        <v>6.2222069999999997E-2</v>
      </c>
      <c r="U39" s="34">
        <f>'Baseline NFPC'!U38</f>
        <v>6.2222069999999997E-2</v>
      </c>
      <c r="V39" s="34">
        <f>'Baseline NFPC'!V38</f>
        <v>6.2222069999999997E-2</v>
      </c>
      <c r="W39" s="34">
        <f>'Baseline NFPC'!W38</f>
        <v>6.2222069999999997E-2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2.6764709999999998</v>
      </c>
      <c r="D42" s="2">
        <f>'Input data'!D42</f>
        <v>6.4826920000000001</v>
      </c>
      <c r="E42" s="2">
        <f>'Input data'!E42</f>
        <v>8.8824670000000001</v>
      </c>
      <c r="F42" s="2">
        <f>'Input data'!F42</f>
        <v>3.3049719999999998</v>
      </c>
      <c r="G42" s="2">
        <f>'Input data'!G42</f>
        <v>2.9611909999999999</v>
      </c>
      <c r="H42" s="1">
        <f>'Baseline NFPC'!H41</f>
        <v>2.9097921250000001</v>
      </c>
      <c r="I42" s="1">
        <f>'Baseline NFPC'!I41</f>
        <v>2.8583932499999998</v>
      </c>
      <c r="J42" s="1">
        <f>'Baseline NFPC'!J41</f>
        <v>2.8069943749999999</v>
      </c>
      <c r="K42" s="1">
        <f>'Baseline NFPC'!K41</f>
        <v>2.7555955000000001</v>
      </c>
      <c r="L42" s="1">
        <f>'Baseline NFPC'!L41</f>
        <v>2.7041966249999998</v>
      </c>
      <c r="M42" s="1">
        <f>'Baseline NFPC'!M41</f>
        <v>2.65279775</v>
      </c>
      <c r="N42" s="1">
        <f>'Baseline NFPC'!N41</f>
        <v>2.6013988749999997</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0.99995230000000002</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0.46800000000000003</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0.59801351059144037</v>
      </c>
      <c r="I51" s="34">
        <f t="shared" si="12"/>
        <v>0.18209458495590525</v>
      </c>
      <c r="J51" s="34">
        <f t="shared" si="12"/>
        <v>-9.4140877124041872E-2</v>
      </c>
      <c r="K51" s="34">
        <f t="shared" si="12"/>
        <v>-0.27753129474716864</v>
      </c>
      <c r="L51" s="34">
        <f t="shared" si="12"/>
        <v>-0.13876564737358432</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2.4607920000000001</v>
      </c>
      <c r="E52" s="34">
        <f>'Input data'!E30-$C$47*((E12-D12)-('Input data'!E13-'Input data'!D13))</f>
        <v>1.586897</v>
      </c>
      <c r="F52" s="34">
        <f>'Input data'!F30-$C$47*((F12-E12)-('Input data'!F13-'Input data'!E13))</f>
        <v>2.3434569999999999</v>
      </c>
      <c r="G52" s="34">
        <f>'Input data'!G30-$C$47*((G12-F12))</f>
        <v>2.6849849999999997</v>
      </c>
      <c r="H52" s="34">
        <f>'Input data'!H30-$C$47*((H12-G12))</f>
        <v>1.747576</v>
      </c>
      <c r="I52" s="34">
        <f>'Input data'!I30-$C$47*((I12-H12))</f>
        <v>1.4682519999999999</v>
      </c>
      <c r="J52" s="34">
        <f>'Input data'!J30-$C$47*((J12-I12))</f>
        <v>1.683325</v>
      </c>
      <c r="K52" s="34">
        <f>'Input data'!K30-$C$47*((K12-J12))</f>
        <v>2.3063069999999999</v>
      </c>
      <c r="L52" s="34">
        <f>'Input data'!L30-$C$47*((L12-K12))</f>
        <v>2.3041770000000001</v>
      </c>
      <c r="M52" s="34">
        <f>'Input data'!M30-$C$47*((M12-L12))</f>
        <v>2.282165</v>
      </c>
      <c r="N52" s="34">
        <f>'Input data'!N30-$C$47*((N12-M12))</f>
        <v>2.2710119999999998</v>
      </c>
      <c r="O52" s="34">
        <f>'Input data'!O30-$C$47*((O12-N12))</f>
        <v>2.2812250000000001</v>
      </c>
      <c r="P52" s="34">
        <f>'Input data'!P30-$C$47*((P12-O12))</f>
        <v>2.164819</v>
      </c>
      <c r="Q52" s="34">
        <f>'Input data'!Q30-$C$47*((Q12-P12))</f>
        <v>2.048413</v>
      </c>
      <c r="R52" s="34">
        <f>'Input data'!R30-$C$47*((R12-Q12))</f>
        <v>1.9320040000000001</v>
      </c>
      <c r="S52" s="34">
        <f>'Input data'!S30-$C$47*((S12-R12))</f>
        <v>1.876234</v>
      </c>
      <c r="T52" s="34">
        <f>'Input data'!T30-$C$47*((T12-S12))</f>
        <v>1.7763089999999999</v>
      </c>
      <c r="U52" s="34">
        <f>'Input data'!U30-$C$47*((U12-T12))</f>
        <v>1.665694</v>
      </c>
      <c r="V52" s="34">
        <f>'Input data'!V30-$C$47*((V12-U12))</f>
        <v>1.536637</v>
      </c>
      <c r="W52" s="34">
        <f>'Input data'!W30-$C$47*((W12-V12))</f>
        <v>1.4456929999999999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74.367679999999993</v>
      </c>
      <c r="D57" s="45">
        <f>+C57+D58</f>
        <v>72.475954801911442</v>
      </c>
      <c r="E57" s="45">
        <f>+D57+E58</f>
        <v>69.219569977397526</v>
      </c>
      <c r="F57" s="45">
        <f>+E57+F58</f>
        <v>68.073476569055501</v>
      </c>
      <c r="G57" s="45">
        <f>+F57+G58</f>
        <v>66.45039802251047</v>
      </c>
      <c r="H57" s="45">
        <f t="shared" ref="H57:S57" si="13">+G57+H58</f>
        <v>65.072880781600873</v>
      </c>
      <c r="I57" s="45">
        <f t="shared" si="13"/>
        <v>63.52490017138598</v>
      </c>
      <c r="J57" s="45">
        <f t="shared" si="13"/>
        <v>61.733292809090869</v>
      </c>
      <c r="K57" s="45">
        <f t="shared" si="13"/>
        <v>59.903668064975598</v>
      </c>
      <c r="L57" s="45">
        <f t="shared" si="13"/>
        <v>58.2956435110341</v>
      </c>
      <c r="M57" s="45">
        <f t="shared" si="13"/>
        <v>56.90347345900944</v>
      </c>
      <c r="N57" s="45">
        <f t="shared" si="13"/>
        <v>55.842955077676599</v>
      </c>
      <c r="O57" s="45">
        <f t="shared" si="13"/>
        <v>55.059105354062943</v>
      </c>
      <c r="P57" s="45">
        <f t="shared" si="13"/>
        <v>54.538128847675814</v>
      </c>
      <c r="Q57" s="45">
        <f t="shared" si="13"/>
        <v>54.320083188778682</v>
      </c>
      <c r="R57" s="45">
        <f t="shared" si="13"/>
        <v>54.371490069909413</v>
      </c>
      <c r="S57" s="45">
        <f t="shared" si="13"/>
        <v>54.632404772901488</v>
      </c>
      <c r="T57" s="45">
        <f>+S57+T58</f>
        <v>55.169423113924019</v>
      </c>
      <c r="U57" s="45">
        <f>+T57+U58</f>
        <v>56.009655330882325</v>
      </c>
      <c r="V57" s="45">
        <f t="shared" ref="V57" si="14">+U57+V58</f>
        <v>57.100938629571111</v>
      </c>
      <c r="W57" s="45">
        <f t="shared" ref="W57" si="15">+V57+W58</f>
        <v>58.422156778108004</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-1.8917251980885534</v>
      </c>
      <c r="E58" s="47">
        <f>-E59+E67+E72</f>
        <v>-3.2563848245139102</v>
      </c>
      <c r="F58" s="47">
        <f>-F59+F67+F72</f>
        <v>-1.1460934083420315</v>
      </c>
      <c r="G58" s="47">
        <f>-G59+G67+G72</f>
        <v>-1.6230785465450372</v>
      </c>
      <c r="H58" s="47">
        <f t="shared" ref="H58:S58" si="16">-H59+H67+H72</f>
        <v>-1.3775172409095968</v>
      </c>
      <c r="I58" s="47">
        <f t="shared" si="16"/>
        <v>-1.5479806102148932</v>
      </c>
      <c r="J58" s="47">
        <f t="shared" si="16"/>
        <v>-1.7916073622951103</v>
      </c>
      <c r="K58" s="47">
        <f t="shared" si="16"/>
        <v>-1.8296247441152733</v>
      </c>
      <c r="L58" s="47">
        <f t="shared" si="16"/>
        <v>-1.6080245539414959</v>
      </c>
      <c r="M58" s="47">
        <f t="shared" si="16"/>
        <v>-1.3921700520246629</v>
      </c>
      <c r="N58" s="47">
        <f t="shared" si="16"/>
        <v>-1.0605183813328403</v>
      </c>
      <c r="O58" s="47">
        <f t="shared" si="16"/>
        <v>-0.78384972361365879</v>
      </c>
      <c r="P58" s="47">
        <f t="shared" si="16"/>
        <v>-0.52097650638712811</v>
      </c>
      <c r="Q58" s="47">
        <f t="shared" si="16"/>
        <v>-0.21804565889713312</v>
      </c>
      <c r="R58" s="47">
        <f t="shared" si="16"/>
        <v>5.1406881130730109E-2</v>
      </c>
      <c r="S58" s="47">
        <f t="shared" si="16"/>
        <v>0.26091470299207686</v>
      </c>
      <c r="T58" s="47">
        <f>-T59+T67+T72</f>
        <v>0.53701834102253365</v>
      </c>
      <c r="U58" s="47">
        <f t="shared" ref="U58:W58" si="17">-U59+U67+U72</f>
        <v>0.84023221695830486</v>
      </c>
      <c r="V58" s="47">
        <f t="shared" si="17"/>
        <v>1.0912832986887868</v>
      </c>
      <c r="W58" s="47">
        <f t="shared" si="17"/>
        <v>1.3212181485368946</v>
      </c>
    </row>
    <row r="59" spans="2:48" outlineLevel="1" x14ac:dyDescent="0.2">
      <c r="B59" s="84" t="s">
        <v>106</v>
      </c>
      <c r="C59" s="48"/>
      <c r="D59" s="48">
        <f>D60+D61-D62-D63-D64-D65-D66</f>
        <v>-1.8615918019114464</v>
      </c>
      <c r="E59" s="48">
        <f t="shared" ref="E59:R59" si="18">E60+E61-E62-E63-E64-E65-E66</f>
        <v>-1.2147641754860907</v>
      </c>
      <c r="F59" s="48">
        <f t="shared" si="18"/>
        <v>-1.3889442916579684</v>
      </c>
      <c r="G59" s="48">
        <f t="shared" si="18"/>
        <v>-0.86152171556480883</v>
      </c>
      <c r="H59" s="48">
        <f t="shared" si="18"/>
        <v>-0.23684460136095453</v>
      </c>
      <c r="I59" s="48">
        <f t="shared" si="18"/>
        <v>9.2381042589225748E-3</v>
      </c>
      <c r="J59" s="48">
        <f t="shared" si="18"/>
        <v>0.32049803108748764</v>
      </c>
      <c r="K59" s="48">
        <f t="shared" si="18"/>
        <v>0.2157378540583168</v>
      </c>
      <c r="L59" s="48">
        <f t="shared" si="18"/>
        <v>0.11663757702915722</v>
      </c>
      <c r="M59" s="48">
        <f t="shared" si="18"/>
        <v>2.4977399999998151E-2</v>
      </c>
      <c r="N59" s="48">
        <f t="shared" si="18"/>
        <v>-0.12025372717693172</v>
      </c>
      <c r="O59" s="48">
        <f t="shared" si="18"/>
        <v>-0.31059632717693142</v>
      </c>
      <c r="P59" s="48">
        <f t="shared" si="18"/>
        <v>-0.44153882717693471</v>
      </c>
      <c r="Q59" s="48">
        <f t="shared" si="18"/>
        <v>-0.62148178578280033</v>
      </c>
      <c r="R59" s="48">
        <f t="shared" si="18"/>
        <v>-0.77545622230115818</v>
      </c>
      <c r="S59" s="48">
        <f>S60+S61-S62-S63-S64-S65-S66</f>
        <v>-0.90696872230115755</v>
      </c>
      <c r="T59" s="48">
        <f>T60+T61-T62-T63-T64-T65-T66</f>
        <v>-1.0855322419650517</v>
      </c>
      <c r="U59" s="48">
        <f>U60+U61-U62-U63-U64-U65-U66</f>
        <v>-1.2882856626295331</v>
      </c>
      <c r="V59" s="48">
        <f t="shared" ref="V59:W59" si="19">V60+V61-V62-V63-V64-V65-V66</f>
        <v>-1.4300358580426868</v>
      </c>
      <c r="W59" s="48">
        <f t="shared" si="19"/>
        <v>-1.5712507646954375</v>
      </c>
    </row>
    <row r="60" spans="2:48" outlineLevel="1" x14ac:dyDescent="0.2">
      <c r="B60" s="79" t="s">
        <v>107</v>
      </c>
      <c r="C60" s="1"/>
      <c r="D60" s="1">
        <f>D12</f>
        <v>-3.2634059999999998</v>
      </c>
      <c r="E60" s="1">
        <f>E12</f>
        <v>-1.555059</v>
      </c>
      <c r="F60" s="1">
        <f>F12</f>
        <v>-1.244675</v>
      </c>
      <c r="G60" s="1">
        <f t="shared" ref="G60:W60" si="20">IF(G12="",F60,G12)</f>
        <v>-0.80467500000000003</v>
      </c>
      <c r="H60" s="1">
        <f t="shared" si="20"/>
        <v>-0.36467500000000003</v>
      </c>
      <c r="I60" s="1">
        <f t="shared" si="20"/>
        <v>7.5324999999999975E-2</v>
      </c>
      <c r="J60" s="1">
        <f t="shared" si="20"/>
        <v>0.51532500000000003</v>
      </c>
      <c r="K60" s="1">
        <f t="shared" si="20"/>
        <v>0.51532500000000003</v>
      </c>
      <c r="L60" s="1">
        <f t="shared" si="20"/>
        <v>0.51532500000000003</v>
      </c>
      <c r="M60" s="1">
        <f t="shared" si="20"/>
        <v>0.51532500000000003</v>
      </c>
      <c r="N60" s="1">
        <f t="shared" si="20"/>
        <v>0.51532500000000003</v>
      </c>
      <c r="O60" s="1">
        <f t="shared" si="20"/>
        <v>0.51532500000000003</v>
      </c>
      <c r="P60" s="1">
        <f t="shared" si="20"/>
        <v>0.51532500000000003</v>
      </c>
      <c r="Q60" s="1">
        <f t="shared" si="20"/>
        <v>0.51532500000000003</v>
      </c>
      <c r="R60" s="1">
        <f t="shared" si="20"/>
        <v>0.51532500000000003</v>
      </c>
      <c r="S60" s="1">
        <f t="shared" si="20"/>
        <v>0.51532500000000003</v>
      </c>
      <c r="T60" s="1">
        <f t="shared" si="20"/>
        <v>0.51532500000000003</v>
      </c>
      <c r="U60" s="1">
        <f t="shared" si="20"/>
        <v>0.51532500000000003</v>
      </c>
      <c r="V60" s="1">
        <f t="shared" si="20"/>
        <v>0.51532500000000003</v>
      </c>
      <c r="W60" s="1">
        <f t="shared" si="20"/>
        <v>0.51532500000000003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-1.4018141980885535</v>
      </c>
      <c r="E62" s="1">
        <f t="shared" si="21"/>
        <v>-0.74606702451390927</v>
      </c>
      <c r="F62" s="1">
        <f t="shared" si="21"/>
        <v>-0.50788490834203148</v>
      </c>
      <c r="G62" s="1">
        <f t="shared" si="21"/>
        <v>-0.41980548443519122</v>
      </c>
      <c r="H62" s="1">
        <f t="shared" si="21"/>
        <v>-0.12783039863904549</v>
      </c>
      <c r="I62" s="1">
        <f t="shared" si="21"/>
        <v>6.6086895741077401E-2</v>
      </c>
      <c r="J62" s="1">
        <f t="shared" si="21"/>
        <v>0.19482696891251239</v>
      </c>
      <c r="K62" s="1">
        <f t="shared" si="21"/>
        <v>0.12988464594168012</v>
      </c>
      <c r="L62" s="1">
        <f t="shared" si="21"/>
        <v>6.4942322970842667E-2</v>
      </c>
      <c r="M62" s="1">
        <f>-$C$48*M30</f>
        <v>0</v>
      </c>
      <c r="N62" s="1">
        <f t="shared" si="21"/>
        <v>-1.3728230688236922E-6</v>
      </c>
      <c r="O62" s="1">
        <f t="shared" si="21"/>
        <v>-1.3728230688236922E-6</v>
      </c>
      <c r="P62" s="1">
        <f t="shared" si="21"/>
        <v>-1.3728230688236922E-6</v>
      </c>
      <c r="Q62" s="1">
        <f t="shared" si="21"/>
        <v>-9.1421719874418281E-7</v>
      </c>
      <c r="R62" s="1">
        <f t="shared" si="21"/>
        <v>9.2230115744662566E-7</v>
      </c>
      <c r="S62" s="1">
        <f t="shared" si="21"/>
        <v>9.2230115744662566E-7</v>
      </c>
      <c r="T62" s="1">
        <f t="shared" si="21"/>
        <v>1.8419650500867137E-6</v>
      </c>
      <c r="U62" s="1">
        <f>-$C$48*U30</f>
        <v>2.7626295323379683E-6</v>
      </c>
      <c r="V62" s="1">
        <f t="shared" si="21"/>
        <v>4.5804268737903443E-7</v>
      </c>
      <c r="W62" s="1">
        <f t="shared" si="21"/>
        <v>2.7646954361859601E-6</v>
      </c>
    </row>
    <row r="63" spans="2:48" outlineLevel="1" x14ac:dyDescent="0.2">
      <c r="B63" s="79" t="s">
        <v>110</v>
      </c>
      <c r="C63" s="1"/>
      <c r="D63" s="1">
        <f t="shared" ref="D63:W63" si="22">-D14</f>
        <v>0</v>
      </c>
      <c r="E63" s="1">
        <f t="shared" si="22"/>
        <v>0.40577220000000003</v>
      </c>
      <c r="F63" s="1">
        <f t="shared" si="22"/>
        <v>0.65215420000000002</v>
      </c>
      <c r="G63" s="1">
        <f t="shared" si="22"/>
        <v>0.47665220000000003</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0.1706200000000031</v>
      </c>
      <c r="L64" s="1">
        <f>IF(L$56&lt;=$C$6,0,HLOOKUP(L$56,'Input data'!$C$9:$BB$26,12,FALSE)-HLOOKUP($C$6,'Input data'!$C$9:$BB$26,12,FALSE))</f>
        <v>0.33558000000000021</v>
      </c>
      <c r="M64" s="1">
        <f>IF(M$56&lt;=$C$6,0,HLOOKUP(M$56,'Input data'!$C$9:$BB$26,12,FALSE)-HLOOKUP($C$6,'Input data'!$C$9:$BB$26,12,FALSE))</f>
        <v>0.49310000000000187</v>
      </c>
      <c r="N64" s="1">
        <f>IF(N$56&lt;=$C$6,0,HLOOKUP(N$56,'Input data'!$C$9:$BB$26,12,FALSE)-HLOOKUP($C$6,'Input data'!$C$9:$BB$26,12,FALSE))</f>
        <v>0.63925000000000054</v>
      </c>
      <c r="O64" s="1">
        <f>IF(O$56&lt;=$C$6,0,HLOOKUP(O$56,'Input data'!$C$9:$BB$26,12,FALSE)-HLOOKUP($C$6,'Input data'!$C$9:$BB$26,12,FALSE))</f>
        <v>0.8305100000000003</v>
      </c>
      <c r="P64" s="1">
        <f>IF(P$56&lt;=$C$6,0,HLOOKUP(P$56,'Input data'!$C$9:$BB$26,12,FALSE)-HLOOKUP($C$6,'Input data'!$C$9:$BB$26,12,FALSE))</f>
        <v>0.9623700000000035</v>
      </c>
      <c r="Q64" s="1">
        <f>IF(Q$56&lt;=$C$6,0,HLOOKUP(Q$56,'Input data'!$C$9:$BB$26,12,FALSE)-HLOOKUP($C$6,'Input data'!$C$9:$BB$26,12,FALSE))</f>
        <v>1.1432299999999991</v>
      </c>
      <c r="R64" s="1">
        <f>IF(R$56&lt;=$C$6,0,HLOOKUP(R$56,'Input data'!$C$9:$BB$26,12,FALSE)-HLOOKUP($C$6,'Input data'!$C$9:$BB$26,12,FALSE))</f>
        <v>1.2981200000000008</v>
      </c>
      <c r="S64" s="1">
        <f>IF(S$56&lt;=$C$6,0,HLOOKUP(S$56,'Input data'!$C$9:$BB$26,12,FALSE)-HLOOKUP($C$6,'Input data'!$C$9:$BB$26,12,FALSE))</f>
        <v>1.4305500000000002</v>
      </c>
      <c r="T64" s="1">
        <f>IF(T$56&lt;=$C$6,0,HLOOKUP(T$56,'Input data'!$C$9:$BB$26,12,FALSE)-HLOOKUP($C$6,'Input data'!$C$9:$BB$26,12,FALSE))</f>
        <v>1.6100300000000018</v>
      </c>
      <c r="U64" s="1">
        <f>IF(U$56&lt;=$C$6,0,HLOOKUP(U$56,'Input data'!$C$9:$BB$26,12,FALSE)-HLOOKUP($C$6,'Input data'!$C$9:$BB$26,12,FALSE))</f>
        <v>1.8137000000000008</v>
      </c>
      <c r="V64" s="1">
        <f>IF(V$56&lt;=$C$6,0,HLOOKUP(V$56,'Input data'!$C$9:$BB$26,12,FALSE)-HLOOKUP($C$6,'Input data'!$C$9:$BB$26,12,FALSE))</f>
        <v>1.9563699999999997</v>
      </c>
      <c r="W64" s="1">
        <f>IF(W$56&lt;=$C$6,0,HLOOKUP(W$56,'Input data'!$C$9:$BB$26,12,FALSE)-HLOOKUP($C$6,'Input data'!$C$9:$BB$26,12,FALSE))</f>
        <v>2.0985000000000014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-9.1750000000001553E-4</v>
      </c>
      <c r="L65" s="1">
        <f>IF(L$56&lt;=$C$6,0,-HLOOKUP(L$56,'Input data'!$C$9:$BB$26,18,FALSE)+HLOOKUP($C$6,'Input data'!$C$9:$BB$26,18,FALSE))</f>
        <v>-1.8349000000000837E-3</v>
      </c>
      <c r="M65" s="1">
        <f>IF(M$56&lt;=$C$6,0,-HLOOKUP(M$56,'Input data'!$C$9:$BB$26,18,FALSE)+HLOOKUP($C$6,'Input data'!$C$9:$BB$26,18,FALSE))</f>
        <v>-2.7523999999999882E-3</v>
      </c>
      <c r="N65" s="1">
        <f>IF(N$56&lt;=$C$6,0,-HLOOKUP(N$56,'Input data'!$C$9:$BB$26,18,FALSE)+HLOOKUP($C$6,'Input data'!$C$9:$BB$26,18,FALSE))</f>
        <v>-3.6699000000000037E-3</v>
      </c>
      <c r="O65" s="1">
        <f>IF(O$56&lt;=$C$6,0,-HLOOKUP(O$56,'Input data'!$C$9:$BB$26,18,FALSE)+HLOOKUP($C$6,'Input data'!$C$9:$BB$26,18,FALSE))</f>
        <v>-4.5873000000000719E-3</v>
      </c>
      <c r="P65" s="1">
        <f>IF(P$56&lt;=$C$6,0,-HLOOKUP(P$56,'Input data'!$C$9:$BB$26,18,FALSE)+HLOOKUP($C$6,'Input data'!$C$9:$BB$26,18,FALSE))</f>
        <v>-5.5047999999999764E-3</v>
      </c>
      <c r="Q65" s="1">
        <f>IF(Q$56&lt;=$C$6,0,-HLOOKUP(Q$56,'Input data'!$C$9:$BB$26,18,FALSE)+HLOOKUP($C$6,'Input data'!$C$9:$BB$26,18,FALSE))</f>
        <v>-6.4222999999999919E-3</v>
      </c>
      <c r="R65" s="1">
        <f>IF(R$56&lt;=$C$6,0,-HLOOKUP(R$56,'Input data'!$C$9:$BB$26,18,FALSE)+HLOOKUP($C$6,'Input data'!$C$9:$BB$26,18,FALSE))</f>
        <v>-7.3397000000000601E-3</v>
      </c>
      <c r="S65" s="1">
        <f>IF(S$56&lt;=$C$6,0,-HLOOKUP(S$56,'Input data'!$C$9:$BB$26,18,FALSE)+HLOOKUP($C$6,'Input data'!$C$9:$BB$26,18,FALSE))</f>
        <v>-8.2572000000000756E-3</v>
      </c>
      <c r="T65" s="1">
        <f>IF(T$56&lt;=$C$6,0,-HLOOKUP(T$56,'Input data'!$C$9:$BB$26,18,FALSE)+HLOOKUP($C$6,'Input data'!$C$9:$BB$26,18,FALSE))</f>
        <v>-9.1746000000000327E-3</v>
      </c>
      <c r="U65" s="264">
        <f>IF(U$56&lt;=$C$6,0,-HLOOKUP(U$56,'Input data'!$C$9:$BB$26,18,FALSE)+HLOOKUP($C$6,'Input data'!$C$9:$BB$26,18,FALSE))</f>
        <v>-1.0092100000000048E-2</v>
      </c>
      <c r="V65" s="264">
        <f>IF(V$56&lt;=$C$6,0,-HLOOKUP(V$56,'Input data'!$C$9:$BB$26,18,FALSE)+HLOOKUP($C$6,'Input data'!$C$9:$BB$26,18,FALSE))</f>
        <v>-1.1009600000000064E-2</v>
      </c>
      <c r="W65" s="264">
        <f>IF(W$56&lt;=$C$6,0,-HLOOKUP(W$56,'Input data'!$C$9:$BB$26,18,FALSE)+HLOOKUP($C$6,'Input data'!$C$9:$BB$26,18,FALSE))</f>
        <v>-1.1927000000000021E-2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-5.0836959999999998</v>
      </c>
      <c r="E67" s="48">
        <f t="shared" si="23"/>
        <v>-5.7078360000000004</v>
      </c>
      <c r="F67" s="48">
        <f t="shared" si="23"/>
        <v>-2.3350279999999999</v>
      </c>
      <c r="G67" s="48">
        <f t="shared" si="23"/>
        <v>-2.2845987621098462</v>
      </c>
      <c r="H67" s="48">
        <f t="shared" si="23"/>
        <v>-1.6143618422705515</v>
      </c>
      <c r="I67" s="48">
        <f t="shared" si="23"/>
        <v>-1.5387425059559707</v>
      </c>
      <c r="J67" s="48">
        <f t="shared" si="23"/>
        <v>-1.4711093312076227</v>
      </c>
      <c r="K67" s="48">
        <f t="shared" si="23"/>
        <v>-1.6138868900569565</v>
      </c>
      <c r="L67" s="48">
        <f t="shared" si="23"/>
        <v>-1.4913869769123387</v>
      </c>
      <c r="M67" s="48">
        <f t="shared" si="23"/>
        <v>-1.3671926520246647</v>
      </c>
      <c r="N67" s="48">
        <f t="shared" si="23"/>
        <v>-1.180772108509772</v>
      </c>
      <c r="O67" s="48">
        <f t="shared" si="23"/>
        <v>-1.0944460507905902</v>
      </c>
      <c r="P67" s="48">
        <f t="shared" ref="P67:T67" si="24">SUM(P68:P71)</f>
        <v>-0.96251533356406282</v>
      </c>
      <c r="Q67" s="48">
        <f t="shared" si="24"/>
        <v>-0.83952744467993345</v>
      </c>
      <c r="R67" s="48">
        <f t="shared" si="24"/>
        <v>-0.72404934117042807</v>
      </c>
      <c r="S67" s="48">
        <f t="shared" si="24"/>
        <v>-0.64605401930908068</v>
      </c>
      <c r="T67" s="48">
        <f t="shared" si="24"/>
        <v>-0.54851390094251806</v>
      </c>
      <c r="U67" s="48">
        <f t="shared" ref="U67:W67" si="25">SUM(U68:U71)</f>
        <v>-0.44805344567122829</v>
      </c>
      <c r="V67" s="48">
        <f t="shared" si="25"/>
        <v>-0.33875255935390014</v>
      </c>
      <c r="W67" s="48">
        <f t="shared" si="25"/>
        <v>-0.25003261615854289</v>
      </c>
    </row>
    <row r="68" spans="2:23" outlineLevel="1" x14ac:dyDescent="0.2">
      <c r="B68" s="79" t="s">
        <v>115</v>
      </c>
      <c r="C68" s="34"/>
      <c r="D68" s="34">
        <f t="shared" ref="D68:E68" si="26">C57*D36/100*(1/(1+D33/100))</f>
        <v>1.1211705707570556</v>
      </c>
      <c r="E68" s="34">
        <f t="shared" si="26"/>
        <v>1.2444369200439294</v>
      </c>
      <c r="F68" s="34">
        <f>E57*F36/100*(1/(1+F33/100))</f>
        <v>1.4137507336400548</v>
      </c>
      <c r="G68" s="34">
        <f>F57*G36/100*(1/(1+G33/100))</f>
        <v>1.4019903431218044</v>
      </c>
      <c r="H68" s="34">
        <f t="shared" ref="H68:W68" si="27">G57*H36/100*(1/(1+H33/100))</f>
        <v>1.441166343077823</v>
      </c>
      <c r="I68" s="34">
        <f t="shared" si="27"/>
        <v>1.4652888458319284</v>
      </c>
      <c r="J68" s="34">
        <f>I57*J36/100*(1/(1+J33/100))</f>
        <v>1.4799057792034565</v>
      </c>
      <c r="K68" s="34">
        <f t="shared" si="27"/>
        <v>1.4776700897665271</v>
      </c>
      <c r="L68" s="34">
        <f>K57*L36/100*(1/(1+L33/100))</f>
        <v>1.4787731802318129</v>
      </c>
      <c r="M68" s="34">
        <f t="shared" si="27"/>
        <v>1.4834579298501298</v>
      </c>
      <c r="N68" s="34">
        <f t="shared" si="27"/>
        <v>1.493533323467451</v>
      </c>
      <c r="O68" s="34">
        <f t="shared" si="27"/>
        <v>1.508661071967901</v>
      </c>
      <c r="P68" s="34">
        <f t="shared" si="27"/>
        <v>1.5301467988304491</v>
      </c>
      <c r="Q68" s="34">
        <f t="shared" si="27"/>
        <v>1.5561675774706893</v>
      </c>
      <c r="R68" s="34">
        <f t="shared" si="27"/>
        <v>1.5888038144666043</v>
      </c>
      <c r="S68" s="34">
        <f t="shared" si="27"/>
        <v>1.6265085492500968</v>
      </c>
      <c r="T68" s="34">
        <f t="shared" si="27"/>
        <v>1.6694867587323203</v>
      </c>
      <c r="U68" s="34">
        <f t="shared" si="27"/>
        <v>1.7199285280350272</v>
      </c>
      <c r="V68" s="34">
        <f t="shared" si="27"/>
        <v>1.7793800277951803</v>
      </c>
      <c r="W68" s="34">
        <f t="shared" si="27"/>
        <v>1.8453372257874474</v>
      </c>
    </row>
    <row r="69" spans="2:23" outlineLevel="1" x14ac:dyDescent="0.2">
      <c r="B69" s="79" t="s">
        <v>116</v>
      </c>
      <c r="C69" s="34"/>
      <c r="D69" s="34">
        <f t="shared" ref="D69:W69" si="28">-C57*(D24/100)*(1/(1+D33/100))</f>
        <v>-1.677345040529362</v>
      </c>
      <c r="E69" s="34">
        <f t="shared" si="28"/>
        <v>-1.0397933543702227</v>
      </c>
      <c r="F69" s="34">
        <f t="shared" si="28"/>
        <v>-1.5342798415845809</v>
      </c>
      <c r="G69" s="34">
        <f t="shared" si="28"/>
        <v>-1.7287782625372314</v>
      </c>
      <c r="H69" s="34">
        <f t="shared" si="28"/>
        <v>-1.1766317180991306</v>
      </c>
      <c r="I69" s="34">
        <f t="shared" si="28"/>
        <v>-1.195682248646696</v>
      </c>
      <c r="J69" s="34">
        <f t="shared" si="28"/>
        <v>-1.2165607716031901</v>
      </c>
      <c r="K69" s="34">
        <f t="shared" si="28"/>
        <v>-1.4360560502910074</v>
      </c>
      <c r="L69" s="34">
        <f t="shared" si="28"/>
        <v>-1.3928994187353789</v>
      </c>
      <c r="M69" s="34">
        <f t="shared" si="28"/>
        <v>-1.3441494895470565</v>
      </c>
      <c r="N69" s="34">
        <f t="shared" si="28"/>
        <v>-1.2315509133940621</v>
      </c>
      <c r="O69" s="34">
        <f t="shared" si="28"/>
        <v>-1.2145207215095852</v>
      </c>
      <c r="P69" s="34">
        <f t="shared" si="28"/>
        <v>-1.1379683504868938</v>
      </c>
      <c r="Q69" s="34">
        <f t="shared" si="28"/>
        <v>-1.0680923929984578</v>
      </c>
      <c r="R69" s="34">
        <f t="shared" si="28"/>
        <v>-1.004781764529497</v>
      </c>
      <c r="S69" s="34">
        <f t="shared" si="28"/>
        <v>-0.97749779141568882</v>
      </c>
      <c r="T69" s="34">
        <f t="shared" si="28"/>
        <v>-0.93104177755961992</v>
      </c>
      <c r="U69" s="34">
        <f t="shared" si="28"/>
        <v>-0.88284182498614239</v>
      </c>
      <c r="V69" s="34">
        <f t="shared" si="28"/>
        <v>-0.82811707834361836</v>
      </c>
      <c r="W69" s="34">
        <f t="shared" si="28"/>
        <v>-0.79521165757287704</v>
      </c>
    </row>
    <row r="70" spans="2:23" outlineLevel="1" x14ac:dyDescent="0.2">
      <c r="B70" s="79" t="s">
        <v>117</v>
      </c>
      <c r="C70" s="34"/>
      <c r="D70" s="34">
        <f t="shared" ref="D70:W70" si="29">-C57*D42/100*(1/(1+D42/100))</f>
        <v>-4.5275223150308781</v>
      </c>
      <c r="E70" s="34">
        <f t="shared" si="29"/>
        <v>-5.9124787907447942</v>
      </c>
      <c r="F70" s="34">
        <f t="shared" si="29"/>
        <v>-2.214498839681593</v>
      </c>
      <c r="G70" s="34">
        <f t="shared" si="29"/>
        <v>-1.9578111344399465</v>
      </c>
      <c r="H70" s="34">
        <f t="shared" si="29"/>
        <v>-1.8788964672492439</v>
      </c>
      <c r="I70" s="34">
        <f t="shared" si="29"/>
        <v>-1.8083491031412031</v>
      </c>
      <c r="J70" s="34">
        <f t="shared" si="29"/>
        <v>-1.734454338807889</v>
      </c>
      <c r="K70" s="34">
        <f t="shared" si="29"/>
        <v>-1.6555009295324763</v>
      </c>
      <c r="L70" s="34">
        <f t="shared" si="29"/>
        <v>-1.5772607384087727</v>
      </c>
      <c r="M70" s="34">
        <f t="shared" si="29"/>
        <v>-1.506501092327738</v>
      </c>
      <c r="N70" s="34">
        <f t="shared" si="29"/>
        <v>-1.4427545185831609</v>
      </c>
      <c r="O70" s="34">
        <f t="shared" si="29"/>
        <v>-1.388586401248906</v>
      </c>
      <c r="P70" s="34">
        <f t="shared" si="29"/>
        <v>-1.3546937819076181</v>
      </c>
      <c r="Q70" s="34">
        <f t="shared" si="29"/>
        <v>-1.327602629152165</v>
      </c>
      <c r="R70" s="34">
        <f t="shared" si="29"/>
        <v>-1.3080713911075355</v>
      </c>
      <c r="S70" s="34">
        <f t="shared" si="29"/>
        <v>-1.2950647771434887</v>
      </c>
      <c r="T70" s="34">
        <f t="shared" si="29"/>
        <v>-1.2869588821152185</v>
      </c>
      <c r="U70" s="34">
        <f t="shared" si="29"/>
        <v>-1.2851401487201131</v>
      </c>
      <c r="V70" s="34">
        <f t="shared" si="29"/>
        <v>-1.2900155088054621</v>
      </c>
      <c r="W70" s="34">
        <f t="shared" si="29"/>
        <v>-1.3001581843731134</v>
      </c>
    </row>
    <row r="71" spans="2:23" outlineLevel="1" x14ac:dyDescent="0.2">
      <c r="B71" s="79" t="s">
        <v>118</v>
      </c>
      <c r="C71" s="49"/>
      <c r="D71" s="49">
        <f>'Baseline NFPC'!D70</f>
        <v>7.8480318421725315E-7</v>
      </c>
      <c r="E71" s="49">
        <f>'Baseline NFPC'!E70</f>
        <v>-7.7492891303876377E-7</v>
      </c>
      <c r="F71" s="49">
        <f>'Baseline NFPC'!F70</f>
        <v>-5.237388078782601E-8</v>
      </c>
      <c r="G71" s="49">
        <f>'Baseline NFPC'!G70</f>
        <v>2.917455272921643E-7</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1.330379</v>
      </c>
      <c r="E72" s="50">
        <f>'Input data'!E16</f>
        <v>1.2366870000000001</v>
      </c>
      <c r="F72" s="50">
        <f>'Input data'!F16</f>
        <v>-0.20000970000000001</v>
      </c>
      <c r="G72" s="50">
        <f>'Input data'!G16</f>
        <v>-0.2000015</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1.3303780000000001</v>
      </c>
      <c r="E73" s="34">
        <f t="shared" si="30"/>
        <v>1.2366839999999999</v>
      </c>
      <c r="F73" s="34">
        <f t="shared" si="30"/>
        <v>-0.20000760000000001</v>
      </c>
      <c r="G73" s="34">
        <f t="shared" si="30"/>
        <v>-0.2</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9.9999999991773336E-7</v>
      </c>
      <c r="E74" s="49">
        <f t="shared" ref="E74:T74" si="31">+E72-E73</f>
        <v>3.0000000001972893E-6</v>
      </c>
      <c r="F74" s="49">
        <f t="shared" si="31"/>
        <v>-2.1000000000048757E-6</v>
      </c>
      <c r="G74" s="49">
        <f t="shared" si="31"/>
        <v>-1.4999999999876223E-6</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-2.982762372668502</v>
      </c>
      <c r="E77" s="78">
        <f t="shared" ref="E77:T77" si="33">E59-E68</f>
        <v>-2.4592010955300201</v>
      </c>
      <c r="F77" s="78">
        <f t="shared" si="33"/>
        <v>-2.8026950252980232</v>
      </c>
      <c r="G77" s="78">
        <f>G59-G68</f>
        <v>-2.2635120586866133</v>
      </c>
      <c r="H77" s="78">
        <f t="shared" si="33"/>
        <v>-1.6780109444387774</v>
      </c>
      <c r="I77" s="78">
        <f t="shared" si="33"/>
        <v>-1.456050741573006</v>
      </c>
      <c r="J77" s="78">
        <f t="shared" si="33"/>
        <v>-1.1594077481159688</v>
      </c>
      <c r="K77" s="78">
        <f t="shared" si="33"/>
        <v>-1.2619322357082103</v>
      </c>
      <c r="L77" s="78">
        <f t="shared" si="33"/>
        <v>-1.3621356032026557</v>
      </c>
      <c r="M77" s="78">
        <f t="shared" si="33"/>
        <v>-1.4584805298501315</v>
      </c>
      <c r="N77" s="78">
        <f t="shared" si="33"/>
        <v>-1.6137870506443828</v>
      </c>
      <c r="O77" s="78">
        <f t="shared" si="33"/>
        <v>-1.8192573991448324</v>
      </c>
      <c r="P77" s="78">
        <f t="shared" si="33"/>
        <v>-1.9716856260073838</v>
      </c>
      <c r="Q77" s="78">
        <f t="shared" si="33"/>
        <v>-2.1776493632534897</v>
      </c>
      <c r="R77" s="78">
        <f t="shared" si="33"/>
        <v>-2.3642600367677624</v>
      </c>
      <c r="S77" s="78">
        <f t="shared" si="33"/>
        <v>-2.5334772715512544</v>
      </c>
      <c r="T77" s="78">
        <f t="shared" si="33"/>
        <v>-2.7550190006973718</v>
      </c>
      <c r="U77" s="78">
        <f t="shared" ref="U77:W77" si="34">U59-U68</f>
        <v>-3.0082141906645603</v>
      </c>
      <c r="V77" s="78">
        <f t="shared" si="34"/>
        <v>-3.209415885837867</v>
      </c>
      <c r="W77" s="78">
        <f t="shared" si="34"/>
        <v>-3.4165879904828849</v>
      </c>
    </row>
    <row r="78" spans="2:23" x14ac:dyDescent="0.2">
      <c r="B78" s="26" t="s">
        <v>42</v>
      </c>
      <c r="D78" s="34">
        <f>D60-D68-D64-D65-D66</f>
        <v>-4.384576570757055</v>
      </c>
      <c r="E78" s="34">
        <f t="shared" ref="E78:W78" si="35">E60-E68-E64-E65-E66</f>
        <v>-2.7994959200439293</v>
      </c>
      <c r="F78" s="34">
        <f t="shared" si="35"/>
        <v>-2.6584257336400547</v>
      </c>
      <c r="G78" s="34">
        <f t="shared" si="35"/>
        <v>-2.2066653431218044</v>
      </c>
      <c r="H78" s="34">
        <f t="shared" si="35"/>
        <v>-1.8058413430778231</v>
      </c>
      <c r="I78" s="34">
        <f t="shared" si="35"/>
        <v>-1.3899638458319283</v>
      </c>
      <c r="J78" s="34">
        <f t="shared" si="35"/>
        <v>-0.96458077920345642</v>
      </c>
      <c r="K78" s="34">
        <f t="shared" si="35"/>
        <v>-1.1320475897665303</v>
      </c>
      <c r="L78" s="34">
        <f t="shared" si="35"/>
        <v>-1.2971932802318129</v>
      </c>
      <c r="M78" s="34">
        <f t="shared" si="35"/>
        <v>-1.4584805298501315</v>
      </c>
      <c r="N78" s="34">
        <f t="shared" si="35"/>
        <v>-1.6137884234674515</v>
      </c>
      <c r="O78" s="34">
        <f t="shared" si="35"/>
        <v>-1.8192587719679012</v>
      </c>
      <c r="P78" s="34">
        <f t="shared" si="35"/>
        <v>-1.9716869988304526</v>
      </c>
      <c r="Q78" s="34">
        <f t="shared" si="35"/>
        <v>-2.1776502774706885</v>
      </c>
      <c r="R78" s="34">
        <f t="shared" si="35"/>
        <v>-2.3642591144666047</v>
      </c>
      <c r="S78" s="34">
        <f t="shared" si="35"/>
        <v>-2.5334763492500967</v>
      </c>
      <c r="T78" s="34">
        <f t="shared" si="35"/>
        <v>-2.755017158732322</v>
      </c>
      <c r="U78" s="34">
        <f t="shared" si="35"/>
        <v>-3.0082114280350276</v>
      </c>
      <c r="V78" s="34">
        <f t="shared" si="35"/>
        <v>-3.2094154277951801</v>
      </c>
      <c r="W78" s="34">
        <f t="shared" si="35"/>
        <v>-3.4165852257874487</v>
      </c>
    </row>
    <row r="79" spans="2:23" x14ac:dyDescent="0.2">
      <c r="B79" s="35" t="s">
        <v>123</v>
      </c>
      <c r="C79" s="35"/>
      <c r="D79" s="285">
        <f>'Input data'!D45</f>
        <v>13.570048119137473</v>
      </c>
      <c r="E79" s="285">
        <f>'Input data'!E45</f>
        <v>9.3812780142752157</v>
      </c>
      <c r="F79" s="285">
        <f>'Input data'!F45</f>
        <v>5.6134088664592108</v>
      </c>
      <c r="G79" s="49">
        <f>'Input data'!G33+G42-(G$12-F$12)/'Input data'!$C$64*100</f>
        <v>4.8931067176377612</v>
      </c>
      <c r="H79" s="49">
        <f>'Input data'!H33+H42-(H$12-G$12)/'Input data'!$C$64*100</f>
        <v>4.4549468426377619</v>
      </c>
      <c r="I79" s="49">
        <f>'Input data'!I33+I42-(I$12-H$12)/'Input data'!$C$64*100</f>
        <v>4.2630979676377612</v>
      </c>
      <c r="J79" s="49">
        <f>'Input data'!J33+J42-(J$12-I$12)/'Input data'!$C$64*100</f>
        <v>4.1525610926377619</v>
      </c>
      <c r="K79" s="49">
        <f>'Input data'!K33+K42-(K$12-J$12)/'Input data'!$C$64*100</f>
        <v>5.0618995</v>
      </c>
      <c r="L79" s="49">
        <f>'Input data'!L33+L42-(L$12-K$12)/'Input data'!$C$64*100</f>
        <v>5.0083756249999993</v>
      </c>
      <c r="M79" s="49">
        <f>'Input data'!M33+M42-(M$12-L$12)/'Input data'!$C$64*100</f>
        <v>4.9349617499999994</v>
      </c>
      <c r="N79" s="49">
        <f>'Input data'!N33+N42-(N$12-M$12)/'Input data'!$C$64*100</f>
        <v>4.8724078749999995</v>
      </c>
      <c r="O79" s="49">
        <f>'Input data'!O33+O42-(O$12-N$12)/'Input data'!$C$64*100</f>
        <v>4.8312249999999999</v>
      </c>
      <c r="P79" s="49">
        <f>'Input data'!P33+P42-(P$12-O$12)/'Input data'!$C$64*100</f>
        <v>4.6873190000000005</v>
      </c>
      <c r="Q79" s="49">
        <f>'Input data'!Q33+Q42-(Q$12-P$12)/'Input data'!$C$64*100</f>
        <v>4.5434140000000003</v>
      </c>
      <c r="R79" s="49">
        <f>'Input data'!R33+R42-(R$12-Q$12)/'Input data'!$C$64*100</f>
        <v>4.399508</v>
      </c>
      <c r="S79" s="49">
        <f>'Input data'!S33+S42-(S$12-R$12)/'Input data'!$C$64*100</f>
        <v>4.3162339999999997</v>
      </c>
      <c r="T79" s="49">
        <f>'Input data'!T33+T42-(T$12-S$12)/'Input data'!$C$64*100</f>
        <v>4.1888109999999994</v>
      </c>
      <c r="U79" s="49">
        <f>'Input data'!U33+U42-(U$12-T$12)/'Input data'!$C$64*100</f>
        <v>4.0506960000000003</v>
      </c>
      <c r="V79" s="49">
        <f>'Input data'!V33+V42-(V$12-U$12)/'Input data'!$C$64*100</f>
        <v>3.8941319999999999</v>
      </c>
      <c r="W79" s="49">
        <f>'Input data'!W33+W42-(W$12-V$12)/'Input data'!$C$64*100</f>
        <v>3.7756980000000002</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4.4409281551377617</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1</v>
      </c>
      <c r="S83" s="258">
        <f t="shared" si="36"/>
        <v>1</v>
      </c>
      <c r="T83" s="258">
        <f t="shared" si="36"/>
        <v>1</v>
      </c>
      <c r="U83" s="258">
        <f t="shared" si="36"/>
        <v>1</v>
      </c>
      <c r="V83" s="258">
        <f t="shared" si="36"/>
        <v>1</v>
      </c>
      <c r="W83" s="258">
        <f t="shared" si="36"/>
        <v>1</v>
      </c>
    </row>
    <row r="84" spans="2:23" x14ac:dyDescent="0.2">
      <c r="B84" s="26" t="s">
        <v>261</v>
      </c>
      <c r="F84" s="29">
        <f t="shared" ref="F84:W84" si="37">IF(F57&gt;90,1,0)</f>
        <v>0</v>
      </c>
      <c r="G84" s="29">
        <f t="shared" si="37"/>
        <v>0</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262</v>
      </c>
      <c r="F85" s="29">
        <f t="shared" ref="F85:W85" si="38">IF(AND(F57&gt;60,F57&lt;=90),1,0)</f>
        <v>1</v>
      </c>
      <c r="G85" s="29">
        <f t="shared" si="38"/>
        <v>1</v>
      </c>
      <c r="H85" s="29">
        <f t="shared" si="38"/>
        <v>1</v>
      </c>
      <c r="I85" s="29">
        <f t="shared" si="38"/>
        <v>1</v>
      </c>
      <c r="J85" s="29">
        <f t="shared" si="38"/>
        <v>1</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263</v>
      </c>
      <c r="F86" s="29">
        <f t="shared" ref="F86:W86" si="39">IF(F57&gt;60,1,0)</f>
        <v>1</v>
      </c>
      <c r="G86" s="29">
        <f t="shared" si="39"/>
        <v>1</v>
      </c>
      <c r="H86" s="29">
        <f t="shared" si="39"/>
        <v>1</v>
      </c>
      <c r="I86" s="29">
        <f t="shared" si="39"/>
        <v>1</v>
      </c>
      <c r="J86" s="29">
        <f t="shared" si="39"/>
        <v>1</v>
      </c>
      <c r="K86" s="29">
        <f t="shared" si="39"/>
        <v>0</v>
      </c>
      <c r="L86" s="29">
        <f t="shared" si="39"/>
        <v>0</v>
      </c>
      <c r="M86" s="29">
        <f t="shared" si="39"/>
        <v>0</v>
      </c>
      <c r="N86" s="29">
        <f t="shared" si="39"/>
        <v>0</v>
      </c>
      <c r="O86" s="29">
        <f t="shared" si="39"/>
        <v>0</v>
      </c>
      <c r="P86" s="29">
        <f t="shared" si="39"/>
        <v>0</v>
      </c>
      <c r="Q86" s="29">
        <f t="shared" si="39"/>
        <v>0</v>
      </c>
      <c r="R86" s="29">
        <f t="shared" si="39"/>
        <v>0</v>
      </c>
      <c r="S86" s="29">
        <f t="shared" si="39"/>
        <v>0</v>
      </c>
      <c r="T86" s="29">
        <f t="shared" si="39"/>
        <v>0</v>
      </c>
      <c r="U86" s="29">
        <f t="shared" si="39"/>
        <v>0</v>
      </c>
      <c r="V86" s="29">
        <f t="shared" si="39"/>
        <v>0</v>
      </c>
      <c r="W86" s="29">
        <f t="shared" si="39"/>
        <v>0</v>
      </c>
    </row>
    <row r="87" spans="2:23" x14ac:dyDescent="0.2">
      <c r="B87" s="26" t="s">
        <v>264</v>
      </c>
      <c r="F87" s="366">
        <f>'Input data'!F17</f>
        <v>0</v>
      </c>
      <c r="G87" s="29">
        <f>IF(F87=0,0,IF(AND(E77&gt;-3.05,F77&gt;-3.05),0,1))</f>
        <v>0</v>
      </c>
      <c r="H87" s="29">
        <f t="shared" ref="H87:W87" si="40">IF(G87=0,0,IF(AND(F77&gt;-3.05,G77&gt;-3.05),0,1))</f>
        <v>0</v>
      </c>
      <c r="I87" s="29">
        <f t="shared" si="40"/>
        <v>0</v>
      </c>
      <c r="J87" s="29">
        <f t="shared" si="40"/>
        <v>0</v>
      </c>
      <c r="K87" s="29">
        <f t="shared" si="40"/>
        <v>0</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0</v>
      </c>
      <c r="G88" s="29">
        <f t="shared" si="41"/>
        <v>0</v>
      </c>
      <c r="H88" s="29">
        <f t="shared" si="41"/>
        <v>0</v>
      </c>
      <c r="I88" s="29">
        <f t="shared" si="41"/>
        <v>1</v>
      </c>
      <c r="J88" s="29">
        <f t="shared" si="41"/>
        <v>1</v>
      </c>
      <c r="K88" s="29">
        <f t="shared" si="41"/>
        <v>1</v>
      </c>
      <c r="L88" s="29">
        <f t="shared" si="41"/>
        <v>1</v>
      </c>
      <c r="M88" s="29">
        <f t="shared" si="41"/>
        <v>1</v>
      </c>
      <c r="N88" s="29">
        <f t="shared" si="41"/>
        <v>0</v>
      </c>
      <c r="O88" s="29">
        <f t="shared" si="41"/>
        <v>0</v>
      </c>
      <c r="P88" s="29">
        <f t="shared" si="41"/>
        <v>0</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1.4137507336400548</v>
      </c>
      <c r="G90" s="34">
        <f>F57*G36/100*(1/((1+'Input data'!G30/100)*(1+G42/100)))</f>
        <v>1.3974991827995444</v>
      </c>
      <c r="H90" s="34">
        <f>G57*H36/100*(1/((1+'Input data'!H30/100)*(1+H42/100)))</f>
        <v>1.4380385676145737</v>
      </c>
      <c r="I90" s="34">
        <f>H57*I36/100*(1/((1+'Input data'!I30/100)*(1+I42/100)))</f>
        <v>1.4671331343607703</v>
      </c>
      <c r="J90" s="34">
        <f>I57*J36/100*(1/((1+'Input data'!J30/100)*(1+J42/100)))</f>
        <v>1.479834209299784</v>
      </c>
      <c r="K90" s="34">
        <f>J57*K36/100*(1/((1+'Input data'!K30/100)*(1+K42/100)))</f>
        <v>1.4797291166882438</v>
      </c>
      <c r="L90" s="34">
        <f>K57*L36/100*(1/((1+'Input data'!L30/100)*(1+L42/100)))</f>
        <v>1.4808309492307186</v>
      </c>
      <c r="M90" s="34">
        <f>L57*M36/100*(1/((1+'Input data'!M30/100)*(1+M42/100)))</f>
        <v>1.4855193058281384</v>
      </c>
      <c r="N90" s="34">
        <f>M57*N36/100*(1/((1+'Input data'!N30/100)*(1+N42/100)))</f>
        <v>1.493533323467451</v>
      </c>
      <c r="O90" s="34">
        <f>N57*O36/100*(1/((1+'Input data'!O30/100)*(1+O42/100)))</f>
        <v>1.508661071967901</v>
      </c>
      <c r="P90" s="34">
        <f>O57*P36/100*(1/((1+'Input data'!P30/100)*(1+P42/100)))</f>
        <v>1.5301467988304491</v>
      </c>
      <c r="Q90" s="34">
        <f>P57*Q36/100*(1/((1+'Input data'!Q30/100)*(1+Q42/100)))</f>
        <v>1.5561675774706893</v>
      </c>
      <c r="R90" s="34">
        <f>Q57*R36/100*(1/((1+'Input data'!R30/100)*(1+R42/100)))</f>
        <v>1.5888038144666043</v>
      </c>
      <c r="S90" s="34">
        <f>R57*S36/100*(1/((1+'Input data'!S30/100)*(1+S42/100)))</f>
        <v>1.6265085492500968</v>
      </c>
      <c r="T90" s="34">
        <f>S57*T36/100*(1/((1+'Input data'!T30/100)*(1+T42/100)))</f>
        <v>1.6694867587323203</v>
      </c>
      <c r="U90" s="34">
        <f>T57*U36/100*(1/((1+'Input data'!U30/100)*(1+U42/100)))</f>
        <v>1.7199285280350272</v>
      </c>
      <c r="V90" s="34">
        <f>U57*V36/100*(1/((1+'Input data'!V30/100)*(1+V42/100)))</f>
        <v>1.7793800277951803</v>
      </c>
      <c r="W90" s="34">
        <f>V57*W36/100*(1/((1+'Input data'!W30/100)*(1+W42/100)))</f>
        <v>1.8453372257874474</v>
      </c>
    </row>
    <row r="91" spans="2:23" x14ac:dyDescent="0.2">
      <c r="B91" s="32" t="s">
        <v>260</v>
      </c>
      <c r="F91" s="34"/>
      <c r="G91" s="34">
        <f>G90-F90</f>
        <v>-1.6251550840510331E-2</v>
      </c>
      <c r="H91" s="34">
        <f t="shared" ref="H91:W91" si="42">H90-G90</f>
        <v>4.0539384815029278E-2</v>
      </c>
      <c r="I91" s="34">
        <f t="shared" si="42"/>
        <v>2.9094566746196593E-2</v>
      </c>
      <c r="J91" s="34">
        <f t="shared" si="42"/>
        <v>1.2701074939013735E-2</v>
      </c>
      <c r="K91" s="34">
        <f t="shared" si="42"/>
        <v>-1.0509261154023619E-4</v>
      </c>
      <c r="L91" s="34">
        <f t="shared" si="42"/>
        <v>1.1018325424747566E-3</v>
      </c>
      <c r="M91" s="34">
        <f t="shared" si="42"/>
        <v>4.6883565974198405E-3</v>
      </c>
      <c r="N91" s="34">
        <f t="shared" si="42"/>
        <v>8.0140176393126428E-3</v>
      </c>
      <c r="O91" s="34">
        <f t="shared" si="42"/>
        <v>1.5127748500449956E-2</v>
      </c>
      <c r="P91" s="34">
        <f t="shared" si="42"/>
        <v>2.1485726862548127E-2</v>
      </c>
      <c r="Q91" s="34">
        <f t="shared" si="42"/>
        <v>2.6020778640240216E-2</v>
      </c>
      <c r="R91" s="34">
        <f t="shared" si="42"/>
        <v>3.2636236995915002E-2</v>
      </c>
      <c r="S91" s="34">
        <f t="shared" si="42"/>
        <v>3.7704734783492455E-2</v>
      </c>
      <c r="T91" s="34">
        <f t="shared" si="42"/>
        <v>4.2978209482223528E-2</v>
      </c>
      <c r="U91" s="34">
        <f t="shared" si="42"/>
        <v>5.0441769302706829E-2</v>
      </c>
      <c r="V91" s="34">
        <f t="shared" si="42"/>
        <v>5.9451499760153181E-2</v>
      </c>
      <c r="W91" s="34">
        <f t="shared" si="42"/>
        <v>6.5957197992267069E-2</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74.367679999999993</v>
      </c>
      <c r="D100" s="110">
        <f>D57</f>
        <v>72.475954801911442</v>
      </c>
      <c r="E100" s="110">
        <f>E57</f>
        <v>69.219569977397526</v>
      </c>
      <c r="F100" s="110">
        <f>F57</f>
        <v>68.073476569055501</v>
      </c>
      <c r="G100" s="110">
        <f>G57</f>
        <v>66.45039802251047</v>
      </c>
      <c r="H100" s="110">
        <f t="shared" ref="H100:W100" si="45">G100*(1+H113/100)*H43-H60-H61+H62+H63+H64+H65+H66+H72</f>
        <v>65.072880781600873</v>
      </c>
      <c r="I100" s="110">
        <f t="shared" si="45"/>
        <v>63.524900171385994</v>
      </c>
      <c r="J100" s="110">
        <f t="shared" si="45"/>
        <v>61.733292809090884</v>
      </c>
      <c r="K100" s="110">
        <f t="shared" si="45"/>
        <v>59.903668064975619</v>
      </c>
      <c r="L100" s="110">
        <f t="shared" si="45"/>
        <v>58.295643511034129</v>
      </c>
      <c r="M100" s="110">
        <f t="shared" si="45"/>
        <v>56.903473459009483</v>
      </c>
      <c r="N100" s="110">
        <f t="shared" si="45"/>
        <v>55.842955077676642</v>
      </c>
      <c r="O100" s="110">
        <f t="shared" si="45"/>
        <v>55.059105354062979</v>
      </c>
      <c r="P100" s="110">
        <f t="shared" si="45"/>
        <v>54.53812884767585</v>
      </c>
      <c r="Q100" s="110">
        <f t="shared" si="45"/>
        <v>54.320083188778725</v>
      </c>
      <c r="R100" s="110">
        <f t="shared" si="45"/>
        <v>54.371490069909441</v>
      </c>
      <c r="S100" s="110">
        <f t="shared" si="45"/>
        <v>54.632404772901523</v>
      </c>
      <c r="T100" s="110">
        <f t="shared" si="45"/>
        <v>55.169423113924061</v>
      </c>
      <c r="U100" s="110">
        <f t="shared" si="45"/>
        <v>56.00965533088236</v>
      </c>
      <c r="V100" s="110">
        <f t="shared" si="45"/>
        <v>57.100938629571161</v>
      </c>
      <c r="W100" s="110">
        <f t="shared" si="45"/>
        <v>58.422156778108061</v>
      </c>
    </row>
    <row r="101" spans="2:23" x14ac:dyDescent="0.2">
      <c r="B101" s="26" t="s">
        <v>127</v>
      </c>
      <c r="C101" s="34"/>
      <c r="D101" s="254">
        <f>'Input data'!C66*$D$100</f>
        <v>64.060964244374262</v>
      </c>
      <c r="E101" s="34">
        <f t="shared" ref="E101:W101" si="46">IF(E100=0,0,IF(E95=1,D100*E43/((1+E24/100)*(1+E42/100))-E102-E103,IF(AND(E95=0,E96=1),(1-D106-E39*D107)*D100*E43/((1+E24/100)*(1+E42/100)),E100)))</f>
        <v>62.18233333201178</v>
      </c>
      <c r="F101" s="34">
        <f t="shared" si="46"/>
        <v>60.507217589514426</v>
      </c>
      <c r="G101" s="34">
        <f t="shared" si="46"/>
        <v>59.437354139717591</v>
      </c>
      <c r="H101" s="34">
        <f t="shared" si="46"/>
        <v>58.458440753876012</v>
      </c>
      <c r="I101" s="34">
        <f t="shared" si="46"/>
        <v>57.176529407960771</v>
      </c>
      <c r="J101" s="34">
        <f t="shared" si="46"/>
        <v>55.743130935855646</v>
      </c>
      <c r="K101" s="34">
        <f t="shared" si="46"/>
        <v>53.912398818789327</v>
      </c>
      <c r="L101" s="34">
        <f t="shared" si="46"/>
        <v>52.29011044441252</v>
      </c>
      <c r="M101" s="34">
        <f t="shared" si="46"/>
        <v>50.871898479675522</v>
      </c>
      <c r="N101" s="34">
        <f t="shared" si="46"/>
        <v>49.705826906186203</v>
      </c>
      <c r="O101" s="34">
        <f t="shared" si="46"/>
        <v>48.748616177273583</v>
      </c>
      <c r="P101" s="34">
        <f t="shared" si="46"/>
        <v>48.122008020453414</v>
      </c>
      <c r="Q101" s="34">
        <f t="shared" si="46"/>
        <v>47.723342282080004</v>
      </c>
      <c r="R101" s="34">
        <f t="shared" si="46"/>
        <v>47.588397451350545</v>
      </c>
      <c r="S101" s="34">
        <f t="shared" si="46"/>
        <v>47.660622363054621</v>
      </c>
      <c r="T101" s="34">
        <f t="shared" si="46"/>
        <v>47.937235379740748</v>
      </c>
      <c r="U101" s="34">
        <f t="shared" si="46"/>
        <v>48.461679686691944</v>
      </c>
      <c r="V101" s="34">
        <f t="shared" si="46"/>
        <v>49.262588666266936</v>
      </c>
      <c r="W101" s="34">
        <f t="shared" si="46"/>
        <v>50.267872201583046</v>
      </c>
    </row>
    <row r="102" spans="2:23" x14ac:dyDescent="0.2">
      <c r="B102" s="105" t="s">
        <v>128</v>
      </c>
      <c r="C102" s="34"/>
      <c r="D102" s="254">
        <f>'Input data'!C67*$D$100</f>
        <v>2.6359801746474867</v>
      </c>
      <c r="E102" s="34">
        <f t="shared" ref="E102:W102" si="47">IF(E100=0,0,IF(E95=1,E39*D100*D107*E43/((1+E24/100)*(1+E42/100)),IF(AND(E95=0,E96=1),(E39*D100*D107*E43/((1+E24/100)*(1+E42/100)))*(1-ABS(E100-D100*E43/((1+E24/100)*(1+E42/100)))/((E39*D100*D107*E43/((1+E24/100)*(1+E42/100)))+(D106*D100*E43/((1+E24/100)*(1+E42/100))))),0)))</f>
        <v>1.9322374906716235</v>
      </c>
      <c r="F102" s="34">
        <f t="shared" si="47"/>
        <v>3.5267677960902559</v>
      </c>
      <c r="G102" s="34">
        <f t="shared" si="47"/>
        <v>3.5173052919428573</v>
      </c>
      <c r="H102" s="34">
        <f t="shared" si="47"/>
        <v>3.5114891727565909</v>
      </c>
      <c r="I102" s="34">
        <f t="shared" si="47"/>
        <v>3.4855429921019607</v>
      </c>
      <c r="J102" s="34">
        <f t="shared" si="47"/>
        <v>3.4480212825136918</v>
      </c>
      <c r="K102" s="34">
        <f t="shared" si="47"/>
        <v>3.3830840414530639</v>
      </c>
      <c r="L102" s="34">
        <f t="shared" si="47"/>
        <v>3.3282122981575797</v>
      </c>
      <c r="M102" s="34">
        <f t="shared" si="47"/>
        <v>3.2836782022909374</v>
      </c>
      <c r="N102" s="34">
        <f t="shared" si="47"/>
        <v>3.2531715974761268</v>
      </c>
      <c r="O102" s="34">
        <f t="shared" si="47"/>
        <v>3.2344969007592761</v>
      </c>
      <c r="P102" s="34">
        <f t="shared" si="47"/>
        <v>3.1929211125593602</v>
      </c>
      <c r="Q102" s="34">
        <f t="shared" si="47"/>
        <v>3.1664694264126489</v>
      </c>
      <c r="R102" s="34">
        <f t="shared" si="47"/>
        <v>3.1575157643193368</v>
      </c>
      <c r="S102" s="34">
        <f t="shared" si="47"/>
        <v>3.1623079260540394</v>
      </c>
      <c r="T102" s="34">
        <f t="shared" si="47"/>
        <v>3.1806613484758648</v>
      </c>
      <c r="U102" s="34">
        <f t="shared" si="47"/>
        <v>3.2154585102924353</v>
      </c>
      <c r="V102" s="34">
        <f t="shared" si="47"/>
        <v>3.2685992518225158</v>
      </c>
      <c r="W102" s="34">
        <f t="shared" si="47"/>
        <v>3.3353003550402964</v>
      </c>
    </row>
    <row r="103" spans="2:23" x14ac:dyDescent="0.2">
      <c r="B103" s="105" t="s">
        <v>129</v>
      </c>
      <c r="C103" s="34"/>
      <c r="D103" s="254">
        <f>'Input data'!C68*$D$100</f>
        <v>1.4658670971213696</v>
      </c>
      <c r="E103" s="34">
        <f t="shared" ref="E103:W103" si="48">IF(E100=0,0,IF(E95=1,(1-D107)*D100*E43/((1+E24/100)*(1+E42/100)),IF(AND(E95=0,E96=1),(D106*D100*E43/((1+E24/100)*(1+E42/100)))*(1-ABS(E100-D100*E43/((1+E24/100)*(1+E42/100)))/((E39*D100*D107*E43/((1+E24/100)*(1+E42/100)))+(D106*D100*E43/((1+E24/100)*(1+E42/100))))),0)))</f>
        <v>1.4091118341130224</v>
      </c>
      <c r="F103" s="34">
        <f t="shared" si="48"/>
        <v>1.4367993634475367</v>
      </c>
      <c r="G103" s="34">
        <f t="shared" si="48"/>
        <v>1.4322277404178712</v>
      </c>
      <c r="H103" s="34">
        <f t="shared" si="48"/>
        <v>1.4249399105294891</v>
      </c>
      <c r="I103" s="34">
        <f t="shared" si="48"/>
        <v>1.4067770297502447</v>
      </c>
      <c r="J103" s="34">
        <f t="shared" si="48"/>
        <v>1.3827328426055638</v>
      </c>
      <c r="K103" s="34">
        <f t="shared" si="48"/>
        <v>1.3462529690250069</v>
      </c>
      <c r="L103" s="34">
        <f t="shared" si="48"/>
        <v>1.3151851652613622</v>
      </c>
      <c r="M103" s="34">
        <f t="shared" si="48"/>
        <v>1.2894162471928843</v>
      </c>
      <c r="N103" s="34">
        <f t="shared" si="48"/>
        <v>1.2701695233699286</v>
      </c>
      <c r="O103" s="34">
        <f t="shared" si="48"/>
        <v>1.2567348768852837</v>
      </c>
      <c r="P103" s="34">
        <f t="shared" si="48"/>
        <v>1.2515140886556881</v>
      </c>
      <c r="Q103" s="34">
        <f t="shared" si="48"/>
        <v>1.2526221170325831</v>
      </c>
      <c r="R103" s="34">
        <f t="shared" si="48"/>
        <v>1.261316817471801</v>
      </c>
      <c r="S103" s="34">
        <f t="shared" si="48"/>
        <v>1.275997212241605</v>
      </c>
      <c r="T103" s="34">
        <f t="shared" si="48"/>
        <v>1.2965073850100717</v>
      </c>
      <c r="U103" s="34">
        <f t="shared" si="48"/>
        <v>1.3243029432334275</v>
      </c>
      <c r="V103" s="34">
        <f t="shared" si="48"/>
        <v>1.3603348256438408</v>
      </c>
      <c r="W103" s="34">
        <f t="shared" si="48"/>
        <v>1.402396231001825</v>
      </c>
    </row>
    <row r="104" spans="2:23" x14ac:dyDescent="0.2">
      <c r="B104" s="105" t="s">
        <v>130</v>
      </c>
      <c r="C104" s="34"/>
      <c r="D104" s="254">
        <f>'Input data'!C69*$D$100</f>
        <v>4.2203872796227522</v>
      </c>
      <c r="E104" s="34">
        <f>IF(E100=0,0,IF(E95=1,'Input data'!$C$58*(E100-D100*E43/((1+E24/100)*(1+E42/100))),0))</f>
        <v>3.5859302377484346</v>
      </c>
      <c r="F104" s="34">
        <f>IF(F100=0,0,IF(F95=1,'Input data'!$C$58*(F100-E100*F43/((1+F24/100)*(1+F42/100))),0))</f>
        <v>2.525258615128005</v>
      </c>
      <c r="G104" s="34">
        <f>IF(G100=0,0,IF(G95=1,'Input data'!$C$58*(G100-F100*G43/((1+G24/100)*(1+G42/100))),0))</f>
        <v>2.0021189264187753</v>
      </c>
      <c r="H104" s="34">
        <f>IF(H100=0,0,IF(H95=1,'Input data'!$C$58*(H100-G100*H43/((1+H24/100)*(1+H42/100))),0))</f>
        <v>1.6280881052285947</v>
      </c>
      <c r="I104" s="34">
        <f>IF(I100=0,0,IF(I95=1,'Input data'!$C$58*(I100-H100*I43/((1+I24/100)*(1+I42/100))),0))</f>
        <v>1.4127314847503287</v>
      </c>
      <c r="J104" s="34">
        <f>IF(J100=0,0,IF(J95=1,'Input data'!$C$58*(J100-I100*J43/((1+J24/100)*(1+J42/100))),0))</f>
        <v>1.1249139763202334</v>
      </c>
      <c r="K104" s="34">
        <f>IF(K100=0,0,IF(K95=1,'Input data'!$C$58*(K100-J100*K43/((1+K24/100)*(1+K42/100))),0))</f>
        <v>1.2243882373772133</v>
      </c>
      <c r="L104" s="34">
        <f>IF(L100=0,0,IF(L95=1,'Input data'!$C$58*(L100-K100*L43/((1+L24/100)*(1+L42/100))),0))</f>
        <v>1.3216104344446638</v>
      </c>
      <c r="M104" s="34">
        <f>IF(M100=0,0,IF(M95=1,'Input data'!$C$58*(M100-L100*M43/((1+M24/100)*(1+M42/100))),0))</f>
        <v>1.4150889839104648</v>
      </c>
      <c r="N104" s="34">
        <f>IF(N100=0,0,IF(N95=1,'Input data'!$C$58*(N100-M100*N43/((1+N24/100)*(1+N42/100))),0))</f>
        <v>1.565774949343252</v>
      </c>
      <c r="O104" s="34">
        <f>IF(O100=0,0,IF(O95=1,'Input data'!$C$58*(O100-N100*O43/((1+O24/100)*(1+O42/100))),0))</f>
        <v>1.7651323084114006</v>
      </c>
      <c r="P104" s="34">
        <f>IF(P100=0,0,IF(P95=1,'Input data'!$C$58*(P100-O100*P43/((1+P24/100)*(1+P42/100))),0))</f>
        <v>1.9130256126109144</v>
      </c>
      <c r="Q104" s="34">
        <f>IF(Q100=0,0,IF(Q95=1,'Input data'!$C$58*(Q100-P100*Q43/((1+Q24/100)*(1+Q42/100))),0))</f>
        <v>2.1128616815174666</v>
      </c>
      <c r="R104" s="34">
        <f>IF(R100=0,0,IF(R95=1,'Input data'!$C$58*(R100-Q100*R43/((1+R24/100)*(1+R42/100))),0))</f>
        <v>2.2939204635618751</v>
      </c>
      <c r="S104" s="34">
        <f>IF(S100=0,0,IF(S95=1,'Input data'!$C$58*(S100-R100*S43/((1+S24/100)*(1+S42/100))),0))</f>
        <v>2.4581032825498799</v>
      </c>
      <c r="T104" s="34">
        <f>IF(T100=0,0,IF(T95=1,'Input data'!$C$58*(T100-S100*T43/((1+T24/100)*(1+T42/100))),0))</f>
        <v>2.6730538794038261</v>
      </c>
      <c r="U104" s="34">
        <f>IF(U100=0,0,IF(U95=1,'Input data'!$C$58*(U100-T100*U43/((1+U24/100)*(1+U42/100))),0))</f>
        <v>2.9187162086352538</v>
      </c>
      <c r="V104" s="34">
        <f>IF(V100=0,0,IF(V95=1,'Input data'!$C$58*(V100-U100*V43/((1+V24/100)*(1+V42/100))),0))</f>
        <v>3.113931911935131</v>
      </c>
      <c r="W104" s="34">
        <f>IF(W100=0,0,IF(W95=1,'Input data'!$C$58*(W100-V100*W43/((1+W24/100)*(1+W42/100))),0))</f>
        <v>3.314940397860441</v>
      </c>
    </row>
    <row r="105" spans="2:23" x14ac:dyDescent="0.2">
      <c r="B105" s="107" t="s">
        <v>131</v>
      </c>
      <c r="C105" s="49"/>
      <c r="D105" s="255">
        <f>'Input data'!C70*$D$100</f>
        <v>9.275580614555777E-2</v>
      </c>
      <c r="E105" s="49">
        <f>IF(E100=0,0,IF(E95=1,'Input data'!$C$57*(E100-D100*E43/((1+E24/100)*(1+E42/100))),0))</f>
        <v>0.1099570828526675</v>
      </c>
      <c r="F105" s="49">
        <f>IF(F100=0,0,IF(F95=1,'Input data'!$C$57*(F100-E100*F43/((1+F24/100)*(1+F42/100))),0))</f>
        <v>7.7433204875281783E-2</v>
      </c>
      <c r="G105" s="49">
        <f>IF(G100=0,0,IF(G95=1,'Input data'!$C$57*(G100-F100*G43/((1+G24/100)*(1+G42/100))),0))</f>
        <v>6.1391924013377043E-2</v>
      </c>
      <c r="H105" s="49">
        <f>IF(H100=0,0,IF(H95=1,'Input data'!$C$57*(H100-G100*H43/((1+H24/100)*(1+H42/100))),0))</f>
        <v>4.9922839210187087E-2</v>
      </c>
      <c r="I105" s="49">
        <f>IF(I100=0,0,IF(I95=1,'Input data'!$C$57*(I100-H100*I43/((1+I24/100)*(1+I42/100))),0))</f>
        <v>4.3319256822687106E-2</v>
      </c>
      <c r="J105" s="49">
        <f>IF(J100=0,0,IF(J95=1,'Input data'!$C$57*(J100-I100*J43/((1+J24/100)*(1+J42/100))),0))</f>
        <v>3.4493771795748189E-2</v>
      </c>
      <c r="K105" s="49">
        <f>IF(K100=0,0,IF(K95=1,'Input data'!$C$57*(K100-J100*K43/((1+K24/100)*(1+K42/100))),0))</f>
        <v>3.7543998331002255E-2</v>
      </c>
      <c r="L105" s="49">
        <f>IF(L100=0,0,IF(L95=1,'Input data'!$C$57*(L100-K100*L43/((1+L24/100)*(1+L42/100))),0))</f>
        <v>4.0525168758003181E-2</v>
      </c>
      <c r="M105" s="49">
        <f>IF(M100=0,0,IF(M95=1,'Input data'!$C$57*(M100-L100*M43/((1+M24/100)*(1+M42/100))),0))</f>
        <v>4.3391545939677548E-2</v>
      </c>
      <c r="N105" s="49">
        <f>IF(N100=0,0,IF(N95=1,'Input data'!$C$57*(N100-M100*N43/((1+N24/100)*(1+N42/100))),0))</f>
        <v>4.801210130113117E-2</v>
      </c>
      <c r="O105" s="49">
        <f>IF(O100=0,0,IF(O95=1,'Input data'!$C$57*(O100-N100*O43/((1+O24/100)*(1+O42/100))),0))</f>
        <v>5.4125090733437915E-2</v>
      </c>
      <c r="P105" s="49">
        <f>IF(P100=0,0,IF(P95=1,'Input data'!$C$57*(P100-O100*P43/((1+P24/100)*(1+P42/100))),0))</f>
        <v>5.8660013396470922E-2</v>
      </c>
      <c r="Q105" s="49">
        <f>IF(Q100=0,0,IF(Q95=1,'Input data'!$C$57*(Q100-P100*Q43/((1+Q24/100)*(1+Q42/100))),0))</f>
        <v>6.4787681736027336E-2</v>
      </c>
      <c r="R105" s="49">
        <f>IF(R100=0,0,IF(R95=1,'Input data'!$C$57*(R100-Q100*R43/((1+R24/100)*(1+R42/100))),0))</f>
        <v>7.0339573205884978E-2</v>
      </c>
      <c r="S105" s="49">
        <f>IF(S100=0,0,IF(S95=1,'Input data'!$C$57*(S100-R100*S43/((1+S24/100)*(1+S42/100))),0))</f>
        <v>7.5373989001375707E-2</v>
      </c>
      <c r="T105" s="49">
        <f>IF(T100=0,0,IF(T95=1,'Input data'!$C$57*(T100-S100*T43/((1+T24/100)*(1+T42/100))),0))</f>
        <v>8.1965121293547702E-2</v>
      </c>
      <c r="U105" s="49">
        <f>IF(U100=0,0,IF(U95=1,'Input data'!$C$57*(U100-T100*U43/((1+U24/100)*(1+U42/100))),0))</f>
        <v>8.9497982029299247E-2</v>
      </c>
      <c r="V105" s="49">
        <f>IF(V100=0,0,IF(V95=1,'Input data'!$C$57*(V100-U100*V43/((1+V24/100)*(1+V42/100))),0))</f>
        <v>9.5483973902739647E-2</v>
      </c>
      <c r="W105" s="49">
        <f>IF(W100=0,0,IF(W95=1,'Input data'!$C$57*(W100-V100*W43/((1+W24/100)*(1+W42/100))),0))</f>
        <v>0.10164759262245472</v>
      </c>
    </row>
    <row r="106" spans="2:23" x14ac:dyDescent="0.2">
      <c r="B106" s="26" t="s">
        <v>73</v>
      </c>
      <c r="C106" s="36"/>
      <c r="D106" s="260">
        <f>'Baseline NFPC'!$D$93</f>
        <v>2.1505382130210027E-2</v>
      </c>
      <c r="E106" s="36">
        <f t="shared" ref="E106:G106" si="49">IF(E100&lt;&gt;0,(E103+E105)/(E101+E102+E103+E104+E105),0)</f>
        <v>2.1945656661284028E-2</v>
      </c>
      <c r="F106" s="36">
        <f t="shared" si="49"/>
        <v>2.2244090424656682E-2</v>
      </c>
      <c r="G106" s="36">
        <f t="shared" si="49"/>
        <v>2.2477211707976161E-2</v>
      </c>
      <c r="H106" s="36">
        <f t="shared" ref="H106:W106" si="50">IF(H100&lt;&gt;0,(H103+H105)/(H101+H102+H103+H104+H105),0)</f>
        <v>2.2664783424751783E-2</v>
      </c>
      <c r="I106" s="36">
        <f t="shared" si="50"/>
        <v>2.2827210789165626E-2</v>
      </c>
      <c r="J106" s="36">
        <f t="shared" si="50"/>
        <v>2.2957249644597125E-2</v>
      </c>
      <c r="K106" s="36">
        <f t="shared" si="50"/>
        <v>2.3100371180192977E-2</v>
      </c>
      <c r="L106" s="36">
        <f t="shared" si="50"/>
        <v>2.3255774400410524E-2</v>
      </c>
      <c r="M106" s="36">
        <f t="shared" si="50"/>
        <v>2.3422257238701824E-2</v>
      </c>
      <c r="N106" s="36">
        <f t="shared" si="50"/>
        <v>2.3605155257945976E-2</v>
      </c>
      <c r="O106" s="36">
        <f t="shared" si="50"/>
        <v>2.3808232247674713E-2</v>
      </c>
      <c r="P106" s="36">
        <f t="shared" si="50"/>
        <v>2.4023084945056606E-2</v>
      </c>
      <c r="Q106" s="36">
        <f t="shared" si="50"/>
        <v>2.425272056727551E-2</v>
      </c>
      <c r="R106" s="36">
        <f t="shared" si="50"/>
        <v>2.4491813429528542E-2</v>
      </c>
      <c r="S106" s="36">
        <f t="shared" si="50"/>
        <v>2.4735707806757223E-2</v>
      </c>
      <c r="T106" s="36">
        <f t="shared" si="50"/>
        <v>2.4986168578509396E-2</v>
      </c>
      <c r="U106" s="36">
        <f>IF(U100&lt;&gt;0,(U103+U105)/(U101+U102+U103+U104+U105),0)</f>
        <v>2.5242092937558056E-2</v>
      </c>
      <c r="V106" s="36">
        <f t="shared" si="50"/>
        <v>2.5495531850901098E-2</v>
      </c>
      <c r="W106" s="34">
        <f t="shared" si="50"/>
        <v>2.5744407713956131E-2</v>
      </c>
    </row>
    <row r="107" spans="2:23" x14ac:dyDescent="0.2">
      <c r="B107" s="35" t="s">
        <v>74</v>
      </c>
      <c r="C107" s="108"/>
      <c r="D107" s="261">
        <f>'Baseline NFPC'!$D$94</f>
        <v>0.97849461786978997</v>
      </c>
      <c r="E107" s="108">
        <f t="shared" ref="E107:G107" si="51">IF(E100&lt;&gt;0,(E101+E102+E104)/(E101+E102+E103+E104+E105),1)</f>
        <v>0.97805434333871588</v>
      </c>
      <c r="F107" s="108">
        <f t="shared" si="51"/>
        <v>0.97775590957534342</v>
      </c>
      <c r="G107" s="108">
        <f t="shared" si="51"/>
        <v>0.97752278829202377</v>
      </c>
      <c r="H107" s="108">
        <f t="shared" ref="H107:W107" si="52">IF(H100&lt;&gt;0,(H101+H102+H104)/(H101+H102+H103+H104+H105),1)</f>
        <v>0.97733521657524813</v>
      </c>
      <c r="I107" s="108">
        <f t="shared" si="52"/>
        <v>0.97717278921083439</v>
      </c>
      <c r="J107" s="108">
        <f t="shared" si="52"/>
        <v>0.97704275035540289</v>
      </c>
      <c r="K107" s="108">
        <f t="shared" si="52"/>
        <v>0.97689962881980696</v>
      </c>
      <c r="L107" s="108">
        <f t="shared" si="52"/>
        <v>0.97674422559958951</v>
      </c>
      <c r="M107" s="108">
        <f t="shared" si="52"/>
        <v>0.97657774276129827</v>
      </c>
      <c r="N107" s="108">
        <f t="shared" si="52"/>
        <v>0.97639484474205396</v>
      </c>
      <c r="O107" s="108">
        <f t="shared" si="52"/>
        <v>0.9761917677523253</v>
      </c>
      <c r="P107" s="108">
        <f t="shared" si="52"/>
        <v>0.97597691505494344</v>
      </c>
      <c r="Q107" s="108">
        <f t="shared" si="52"/>
        <v>0.97574727943272455</v>
      </c>
      <c r="R107" s="108">
        <f t="shared" si="52"/>
        <v>0.97550818657047145</v>
      </c>
      <c r="S107" s="108">
        <f t="shared" si="52"/>
        <v>0.97526429219324273</v>
      </c>
      <c r="T107" s="108">
        <f t="shared" si="52"/>
        <v>0.97501383142149056</v>
      </c>
      <c r="U107" s="108">
        <f t="shared" si="52"/>
        <v>0.97475790706244192</v>
      </c>
      <c r="V107" s="108">
        <f t="shared" si="52"/>
        <v>0.97450446814909897</v>
      </c>
      <c r="W107" s="49">
        <f t="shared" si="52"/>
        <v>0.97425559228604386</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1.7379089999999999</v>
      </c>
      <c r="D109" s="115">
        <f>'Baseline NFPC'!D96</f>
        <v>1.6448419999999999</v>
      </c>
      <c r="E109" s="115">
        <f>'Baseline NFPC'!E96</f>
        <v>1.8992169999999999</v>
      </c>
      <c r="F109" s="115">
        <f>'Baseline NFPC'!F96</f>
        <v>2.1593610000000001</v>
      </c>
      <c r="G109" s="115">
        <f>'Baseline NFPC'!G96</f>
        <v>2.1774469999999999</v>
      </c>
      <c r="H109" s="115">
        <f>H111</f>
        <v>2.2733169841339604</v>
      </c>
      <c r="I109" s="115">
        <f t="shared" ref="I109:V109" si="53">I111</f>
        <v>2.3607475558071473</v>
      </c>
      <c r="J109" s="115">
        <f t="shared" si="53"/>
        <v>2.4431415909904963</v>
      </c>
      <c r="K109" s="115">
        <f t="shared" si="53"/>
        <v>2.5198266539528995</v>
      </c>
      <c r="L109" s="115">
        <f t="shared" si="53"/>
        <v>2.5973688159629482</v>
      </c>
      <c r="M109" s="115">
        <f t="shared" si="53"/>
        <v>2.6755489566848842</v>
      </c>
      <c r="N109" s="115">
        <f t="shared" si="53"/>
        <v>2.7541143960072425</v>
      </c>
      <c r="O109" s="115">
        <f t="shared" si="53"/>
        <v>2.8337065749049279</v>
      </c>
      <c r="P109" s="115">
        <f t="shared" si="53"/>
        <v>2.9108813628077219</v>
      </c>
      <c r="Q109" s="115">
        <f t="shared" si="53"/>
        <v>2.9844551995363542</v>
      </c>
      <c r="R109" s="115">
        <f t="shared" si="53"/>
        <v>3.0549671910119764</v>
      </c>
      <c r="S109" s="115">
        <f t="shared" si="53"/>
        <v>3.1219616741783081</v>
      </c>
      <c r="T109" s="115">
        <f t="shared" si="53"/>
        <v>3.1851678693625161</v>
      </c>
      <c r="U109" s="115">
        <f t="shared" si="53"/>
        <v>3.2450599286251043</v>
      </c>
      <c r="V109" s="115">
        <f t="shared" si="53"/>
        <v>3.3017809429073788</v>
      </c>
      <c r="W109" s="115">
        <f>W111</f>
        <v>3.3548189146306986</v>
      </c>
    </row>
    <row r="110" spans="2:23" x14ac:dyDescent="0.2">
      <c r="B110" s="33" t="s">
        <v>133</v>
      </c>
      <c r="C110" s="34"/>
      <c r="D110" s="34"/>
      <c r="E110" s="266">
        <f>((E36*D100)-(E38*(D103+D105)))/(D101+D102+D104)</f>
        <v>1.8655734180047423</v>
      </c>
      <c r="F110" s="266">
        <f>((F36*E100)-(F38*(E103+E105)))/(E101+E102+E104)</f>
        <v>2.1278389377203197</v>
      </c>
      <c r="G110" s="266">
        <f>((G36*F100)-(G38*(F103+F105)))/(F101+F102+F104)</f>
        <v>2.1629112942398399</v>
      </c>
      <c r="H110" s="34">
        <f t="shared" ref="H110:W110" si="54">IF(G100&gt;0,(G110*G101+H37*(G104+G102))/(G101+G102+G104),H37)</f>
        <v>2.2610893811019768</v>
      </c>
      <c r="I110" s="34">
        <f t="shared" si="54"/>
        <v>2.3507048143959435</v>
      </c>
      <c r="J110" s="34">
        <f t="shared" si="54"/>
        <v>2.4352135973293261</v>
      </c>
      <c r="K110" s="34">
        <f t="shared" si="54"/>
        <v>2.5139194541218632</v>
      </c>
      <c r="L110" s="34">
        <f t="shared" si="54"/>
        <v>2.5935243948999078</v>
      </c>
      <c r="M110" s="34">
        <f t="shared" si="54"/>
        <v>2.6738081908275899</v>
      </c>
      <c r="N110" s="34">
        <f t="shared" si="54"/>
        <v>2.7545158589765735</v>
      </c>
      <c r="O110" s="34">
        <f t="shared" si="54"/>
        <v>2.8363082948675422</v>
      </c>
      <c r="P110" s="34">
        <f t="shared" si="54"/>
        <v>2.9162736451692566</v>
      </c>
      <c r="Q110" s="34">
        <f t="shared" si="54"/>
        <v>2.9926019304553293</v>
      </c>
      <c r="R110" s="34">
        <f t="shared" si="54"/>
        <v>3.0658487128156962</v>
      </c>
      <c r="S110" s="34">
        <f t="shared" si="54"/>
        <v>3.1355466625270059</v>
      </c>
      <c r="T110" s="34">
        <f t="shared" si="54"/>
        <v>3.2014154687920175</v>
      </c>
      <c r="U110" s="34">
        <f t="shared" si="54"/>
        <v>3.2639414374544868</v>
      </c>
      <c r="V110" s="34">
        <f t="shared" si="54"/>
        <v>3.3232698224268735</v>
      </c>
      <c r="W110" s="34">
        <f t="shared" si="54"/>
        <v>3.3788666220790877</v>
      </c>
    </row>
    <row r="111" spans="2:23" x14ac:dyDescent="0.2">
      <c r="B111" s="35" t="s">
        <v>63</v>
      </c>
      <c r="C111" s="49"/>
      <c r="D111" s="49"/>
      <c r="E111" s="49">
        <f t="shared" ref="E111:W111" si="55">(E110*(D101+D102+D104)+E38*(D103+D105))/D100</f>
        <v>1.8992170000000002</v>
      </c>
      <c r="F111" s="49">
        <f t="shared" si="55"/>
        <v>2.1593610000000001</v>
      </c>
      <c r="G111" s="49">
        <f t="shared" si="55"/>
        <v>2.1774469999999999</v>
      </c>
      <c r="H111" s="49">
        <f t="shared" si="55"/>
        <v>2.2733169841339604</v>
      </c>
      <c r="I111" s="49">
        <f t="shared" si="55"/>
        <v>2.3607475558071473</v>
      </c>
      <c r="J111" s="49">
        <f t="shared" si="55"/>
        <v>2.4431415909904963</v>
      </c>
      <c r="K111" s="49">
        <f t="shared" si="55"/>
        <v>2.5198266539528995</v>
      </c>
      <c r="L111" s="49">
        <f t="shared" si="55"/>
        <v>2.5973688159629482</v>
      </c>
      <c r="M111" s="49">
        <f t="shared" si="55"/>
        <v>2.6755489566848842</v>
      </c>
      <c r="N111" s="49">
        <f t="shared" si="55"/>
        <v>2.7541143960072425</v>
      </c>
      <c r="O111" s="49">
        <f t="shared" si="55"/>
        <v>2.8337065749049279</v>
      </c>
      <c r="P111" s="49">
        <f t="shared" si="55"/>
        <v>2.9108813628077219</v>
      </c>
      <c r="Q111" s="49">
        <f t="shared" si="55"/>
        <v>2.9844551995363542</v>
      </c>
      <c r="R111" s="49">
        <f t="shared" si="55"/>
        <v>3.0549671910119764</v>
      </c>
      <c r="S111" s="49">
        <f t="shared" si="55"/>
        <v>3.1219616741783081</v>
      </c>
      <c r="T111" s="49">
        <f t="shared" si="55"/>
        <v>3.1851678693625161</v>
      </c>
      <c r="U111" s="49">
        <f t="shared" si="55"/>
        <v>3.2450599286251043</v>
      </c>
      <c r="V111" s="49">
        <f t="shared" si="55"/>
        <v>3.3017809429073788</v>
      </c>
      <c r="W111" s="49">
        <f t="shared" si="55"/>
        <v>3.3548189146306986</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-8.4474867832985296</v>
      </c>
      <c r="D113" s="115">
        <f t="shared" si="56"/>
        <v>-6.835895357772614</v>
      </c>
      <c r="E113" s="115">
        <f t="shared" si="56"/>
        <v>-7.87548814040675</v>
      </c>
      <c r="F113" s="115">
        <f t="shared" si="56"/>
        <v>-3.373363845497146</v>
      </c>
      <c r="G113" s="115">
        <f t="shared" si="56"/>
        <v>-3.3560781217598312</v>
      </c>
      <c r="H113" s="115">
        <f t="shared" si="56"/>
        <v>-2.4294238865562257</v>
      </c>
      <c r="I113" s="115">
        <f t="shared" si="56"/>
        <v>-2.3646448220424165</v>
      </c>
      <c r="J113" s="115">
        <f t="shared" si="56"/>
        <v>-2.3157995167858103</v>
      </c>
      <c r="K113" s="115">
        <f t="shared" si="56"/>
        <v>-2.6142893350074026</v>
      </c>
      <c r="L113" s="115">
        <f t="shared" si="56"/>
        <v>-2.4896421623041176</v>
      </c>
      <c r="M113" s="115">
        <f t="shared" si="56"/>
        <v>-2.3452741400236454</v>
      </c>
      <c r="N113" s="115">
        <f t="shared" si="56"/>
        <v>-2.0750439942130106</v>
      </c>
      <c r="O113" s="115">
        <f t="shared" si="56"/>
        <v>-1.9598641391169846</v>
      </c>
      <c r="P113" s="115">
        <f t="shared" si="56"/>
        <v>-1.7481492432078416</v>
      </c>
      <c r="Q113" s="115">
        <f t="shared" si="56"/>
        <v>-1.5393403888584345</v>
      </c>
      <c r="R113" s="115">
        <f t="shared" si="56"/>
        <v>-1.3329312082497102</v>
      </c>
      <c r="S113" s="115">
        <f t="shared" si="56"/>
        <v>-1.1882220231198337</v>
      </c>
      <c r="T113" s="115">
        <f t="shared" si="56"/>
        <v>-1.0040083412447331</v>
      </c>
      <c r="U113" s="115">
        <f t="shared" si="56"/>
        <v>-0.81214089323720096</v>
      </c>
      <c r="V113" s="115">
        <f t="shared" si="56"/>
        <v>-0.60481100508952279</v>
      </c>
      <c r="W113" s="115">
        <f t="shared" si="56"/>
        <v>-0.43787829440172787</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SI</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-4.6923700000000004</v>
      </c>
      <c r="D12" s="2">
        <f>'Input data'!D13</f>
        <v>-3.2634059999999998</v>
      </c>
      <c r="E12" s="2">
        <f>'Input data'!E13</f>
        <v>-1.555059</v>
      </c>
      <c r="F12" s="2">
        <f>'Input data'!F13</f>
        <v>-1.244675</v>
      </c>
      <c r="G12" s="3">
        <f>IF(G10&lt;=$C$6,F12+'Criteria results'!$F$6,F12)</f>
        <v>-0.80467500000000003</v>
      </c>
      <c r="H12" s="3">
        <f>IF(H10&lt;=$C$6,G12+'Criteria results'!$F$6,G12)</f>
        <v>-0.36467500000000003</v>
      </c>
      <c r="I12" s="3">
        <f>IF(I10&lt;=$C$6,H12+'Criteria results'!$F$6,H12)</f>
        <v>7.5324999999999975E-2</v>
      </c>
      <c r="J12" s="3">
        <f>IF(J10&lt;=$C$6,I12+'Criteria results'!$F$6,I12)</f>
        <v>0.51532500000000003</v>
      </c>
      <c r="K12" s="119">
        <f>IF(K10&lt;=$C$6,J12+'Criteria results'!$F$6,J12)</f>
        <v>0.51532500000000003</v>
      </c>
      <c r="L12" s="119">
        <f>IF(L10&lt;=$C$6,K12+'Criteria results'!$F$6,K12)</f>
        <v>0.51532500000000003</v>
      </c>
      <c r="M12" s="119">
        <f>IF(M10&lt;=$C$6,L12+'Criteria results'!$F$6,L12)</f>
        <v>0.51532500000000003</v>
      </c>
      <c r="N12" s="119">
        <f>M12</f>
        <v>0.51532500000000003</v>
      </c>
      <c r="O12" s="119">
        <f t="shared" ref="O12:W12" si="0">N12</f>
        <v>0.51532500000000003</v>
      </c>
      <c r="P12" s="119">
        <f t="shared" si="0"/>
        <v>0.51532500000000003</v>
      </c>
      <c r="Q12" s="119">
        <f t="shared" si="0"/>
        <v>0.51532500000000003</v>
      </c>
      <c r="R12" s="119">
        <f t="shared" si="0"/>
        <v>0.51532500000000003</v>
      </c>
      <c r="S12" s="119">
        <f t="shared" si="0"/>
        <v>0.51532500000000003</v>
      </c>
      <c r="T12" s="119">
        <f t="shared" si="0"/>
        <v>0.51532500000000003</v>
      </c>
      <c r="U12" s="119">
        <f t="shared" si="0"/>
        <v>0.51532500000000003</v>
      </c>
      <c r="V12" s="119">
        <f t="shared" si="0"/>
        <v>0.51532500000000003</v>
      </c>
      <c r="W12" s="119">
        <f t="shared" si="0"/>
        <v>0.51532500000000003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0.43999999999999995</v>
      </c>
      <c r="H13" s="263">
        <f t="shared" ref="H13:W13" si="1">H12-G12</f>
        <v>0.44</v>
      </c>
      <c r="I13" s="263">
        <f t="shared" si="1"/>
        <v>0.44</v>
      </c>
      <c r="J13" s="263">
        <f t="shared" si="1"/>
        <v>0.44000000000000006</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v>
      </c>
      <c r="D14" s="2">
        <f>'Input data'!D14</f>
        <v>0</v>
      </c>
      <c r="E14" s="2">
        <f>'Input data'!E14</f>
        <v>-0.40577220000000003</v>
      </c>
      <c r="F14" s="2">
        <f>'Input data'!F14</f>
        <v>-0.65215420000000002</v>
      </c>
      <c r="G14" s="2">
        <f>'Input data'!G14</f>
        <v>-0.47665220000000003</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-1.7974220000000001</v>
      </c>
      <c r="D15" s="2">
        <f>'Input data'!D15</f>
        <v>1.3303780000000001</v>
      </c>
      <c r="E15" s="2">
        <f>'Input data'!E15</f>
        <v>1.2366839999999999</v>
      </c>
      <c r="F15" s="2">
        <f>'Input data'!F15</f>
        <v>-0.20000760000000001</v>
      </c>
      <c r="G15" s="2">
        <f>'Input data'!G15</f>
        <v>-0.2</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22.025169999999999</v>
      </c>
      <c r="E18" s="101">
        <f>'Input data'!E20</f>
        <v>22.097189999999998</v>
      </c>
      <c r="F18" s="101">
        <f>'Input data'!F20</f>
        <v>22.199599999999997</v>
      </c>
      <c r="G18" s="101">
        <f>'Input data'!G20</f>
        <v>22.362199999999998</v>
      </c>
      <c r="H18" s="101">
        <f>'Input data'!H20</f>
        <v>22.526659999999996</v>
      </c>
      <c r="I18" s="101">
        <f>'Input data'!I20</f>
        <v>22.697230000000001</v>
      </c>
      <c r="J18" s="101">
        <f>'Input data'!J20</f>
        <v>22.903919999999999</v>
      </c>
      <c r="K18" s="101">
        <f>'Input data'!K20</f>
        <v>23.074540000000002</v>
      </c>
      <c r="L18" s="101">
        <f>'Input data'!L20</f>
        <v>23.2395</v>
      </c>
      <c r="M18" s="101">
        <f>'Input data'!M20</f>
        <v>23.397020000000001</v>
      </c>
      <c r="N18" s="101">
        <f>'Input data'!N20</f>
        <v>23.54317</v>
      </c>
      <c r="O18" s="101">
        <f>'Input data'!O20</f>
        <v>23.73443</v>
      </c>
      <c r="P18" s="101">
        <f>'Input data'!P20</f>
        <v>23.866290000000003</v>
      </c>
      <c r="Q18" s="101">
        <f>'Input data'!Q20</f>
        <v>24.047149999999998</v>
      </c>
      <c r="R18" s="101">
        <f>'Input data'!R20</f>
        <v>24.20204</v>
      </c>
      <c r="S18" s="101">
        <f>'Input data'!S20</f>
        <v>24.33447</v>
      </c>
      <c r="T18" s="101">
        <f>'Input data'!T20</f>
        <v>24.513950000000001</v>
      </c>
      <c r="U18" s="101">
        <f>'Input data'!U20</f>
        <v>24.71762</v>
      </c>
      <c r="V18" s="101">
        <f>'Input data'!V20</f>
        <v>24.860289999999999</v>
      </c>
      <c r="W18" s="101">
        <f>'Input data'!W20</f>
        <v>25.002420000000001</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0.60368690000000003</v>
      </c>
      <c r="D19" s="101">
        <f>'Input data'!D26</f>
        <v>0.70882940000000005</v>
      </c>
      <c r="E19" s="101">
        <f>'Input data'!E26</f>
        <v>0.70974680000000001</v>
      </c>
      <c r="F19" s="101">
        <f>'Input data'!F26</f>
        <v>0.71066430000000003</v>
      </c>
      <c r="G19" s="101">
        <f>'Input data'!G26</f>
        <v>0.71158169999999998</v>
      </c>
      <c r="H19" s="101">
        <f>'Input data'!H26</f>
        <v>0.71249910000000005</v>
      </c>
      <c r="I19" s="101">
        <f>'Input data'!I26</f>
        <v>0.71341659999999996</v>
      </c>
      <c r="J19" s="101">
        <f>'Input data'!J26</f>
        <v>0.71433409999999997</v>
      </c>
      <c r="K19" s="101">
        <f>'Input data'!K26</f>
        <v>0.71525159999999999</v>
      </c>
      <c r="L19" s="101">
        <f>'Input data'!L26</f>
        <v>0.71616900000000006</v>
      </c>
      <c r="M19" s="101">
        <f>'Input data'!M26</f>
        <v>0.71708649999999996</v>
      </c>
      <c r="N19" s="101">
        <f>'Input data'!N26</f>
        <v>0.71800399999999998</v>
      </c>
      <c r="O19" s="101">
        <f>'Input data'!O26</f>
        <v>0.71892140000000004</v>
      </c>
      <c r="P19" s="101">
        <f>'Input data'!P26</f>
        <v>0.71983889999999995</v>
      </c>
      <c r="Q19" s="101">
        <f>'Input data'!Q26</f>
        <v>0.72075639999999996</v>
      </c>
      <c r="R19" s="101">
        <f>'Input data'!R26</f>
        <v>0.72167380000000003</v>
      </c>
      <c r="S19" s="101">
        <f>'Input data'!S26</f>
        <v>0.72259130000000005</v>
      </c>
      <c r="T19" s="101">
        <f>'Input data'!T26</f>
        <v>0.7235087</v>
      </c>
      <c r="U19" s="101">
        <f>'Input data'!U26</f>
        <v>0.72442620000000002</v>
      </c>
      <c r="V19" s="101">
        <f>'Input data'!V26</f>
        <v>0.72534370000000004</v>
      </c>
      <c r="W19" s="101">
        <f>'Input data'!W26</f>
        <v>0.72626109999999999</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47.094990000000003</v>
      </c>
      <c r="D23" s="100">
        <f>'Baseline NFPC'!D22</f>
        <v>48.253899746320805</v>
      </c>
      <c r="E23" s="100">
        <f>'Baseline NFPC'!E22</f>
        <v>49.019639433778181</v>
      </c>
      <c r="F23" s="100">
        <f>'Baseline NFPC'!F22</f>
        <v>50.16839360546382</v>
      </c>
      <c r="G23" s="34">
        <f>IF(AND(G50&gt;1,F50&gt;1),IF(AND(G50&gt;0,F50&gt;0),G27*(G51/100+1),0)+IF(G50&gt;0,F23*(1+G52/100),0)-F23*(1+'Input data'!G30/100),IF(G50=1,G27,F23*(1+G52/100)))</f>
        <v>51.515407448511489</v>
      </c>
      <c r="H23" s="34">
        <f>IF(AND(H50&gt;1,G50&gt;1),IF(AND(H50&gt;0,G50&gt;0),H27*(H51/100+1),0)+IF(H50&gt;0,G23*(1+H52/100),0)-G23*(1+'Input data'!H30/100),IF(H50=1,H27,G23*(1+H52/100)))</f>
        <v>52.471552047126728</v>
      </c>
      <c r="I23" s="34">
        <f>IF(AND(I50&gt;1,H50&gt;1),IF(AND(I50&gt;0,H50&gt;0),I27*(I51/100+1),0)+IF(I50&gt;0,H23*(1+I52/100),0)-H23*(1+'Input data'!I30/100),IF(I50=1,I27,H23*(1+I52/100)))</f>
        <v>53.482353824798402</v>
      </c>
      <c r="J23" s="34">
        <f>IF(AND(J50&gt;1,I50&gt;1),IF(AND(J50&gt;0,I50&gt;0),J27*(J51/100+1),0)+IF(J50&gt;0,I23*(1+J52/100),0)-I23*(1+'Input data'!J30/100),IF(J50=1,J27,I23*(1+J52/100)))</f>
        <v>54.556488884333646</v>
      </c>
      <c r="K23" s="34">
        <f>IF(AND(K50&gt;1,J50&gt;1),IF(AND(K50&gt;0,J50&gt;0),K27*(K51/100+1),0)+IF(K50&gt;0,J23*(1+K52/100),0)-J23*(1+'Input data'!K30/100),IF(K50=1,K27,J23*(1+K52/100)))</f>
        <v>55.892502814294431</v>
      </c>
      <c r="L23" s="34">
        <f>IF(AND(L50&gt;1,K50&gt;1),IF(AND(L50&gt;0,K50&gt;0),L27*(L51/100+1),0)+IF(L50&gt;0,K23*(1+L52/100),0)-K23*(1+'Input data'!L30/100),IF(L50=1,L27,K23*(1+L52/100)))</f>
        <v>57.259933656738397</v>
      </c>
      <c r="M23" s="34">
        <f>IF(AND(M50&gt;1,L50&gt;1),IF(AND(M50&gt;0,L50&gt;0),M27*(M51/100+1),0)+IF(M50&gt;0,L23*(1+M52/100),0)-L23*(1+'Input data'!M30/100),IF(M50=1,M27,L23*(1+M52/100)))</f>
        <v>58.648082640624835</v>
      </c>
      <c r="N23" s="34">
        <f>IF(AND(N50&gt;1,M50&gt;1),IF(AND(N50&gt;0,M50&gt;0),N27*(N51/100+1),0)+IF(N50&gt;0,M23*(1+N52/100),0)-M23*(1+'Input data'!N30/100),IF(N50=1,N27,M23*(1+N52/100)))</f>
        <v>59.97998763516334</v>
      </c>
      <c r="O23" s="34">
        <f>IF(AND(O50&gt;1,N50&gt;1),IF(AND(O50&gt;0,N50&gt;0),O27*(O51/100+1),0)+IF(O50&gt;0,N23*(1+O52/100),0)-N23*(1+'Input data'!O30/100),IF(O50=1,O27,N23*(1+O52/100)))</f>
        <v>61.348266108093597</v>
      </c>
      <c r="P23" s="34">
        <f>IF(AND(P50&gt;1,O50&gt;1),IF(AND(P50&gt;0,O50&gt;0),P27*(P51/100+1),0)+IF(P50&gt;0,O23*(1+P52/100),0)-O23*(1+'Input data'!P30/100),IF(P50=1,P27,O23*(1+P52/100)))</f>
        <v>62.676345028972172</v>
      </c>
      <c r="Q23" s="34">
        <f>IF(AND(Q50&gt;1,P50&gt;1),IF(AND(Q50&gt;0,P50&gt;0),Q27*(Q51/100+1),0)+IF(Q50&gt;0,P23*(1+Q52/100),0)-P23*(1+'Input data'!Q30/100),IF(Q50=1,Q27,P23*(1+Q52/100)))</f>
        <v>63.960215428470491</v>
      </c>
      <c r="R23" s="34">
        <f>IF(AND(R50&gt;1,Q50&gt;1),IF(AND(R50&gt;0,Q50&gt;0),R27*(R51/100+1),0)+IF(R50&gt;0,Q23*(1+R52/100),0)-Q23*(1+'Input data'!R30/100),IF(R50=1,R27,Q23*(1+R52/100)))</f>
        <v>65.195929348957151</v>
      </c>
      <c r="S23" s="34">
        <f>IF(AND(S50&gt;1,R50&gt;1),IF(AND(S50&gt;0,R50&gt;0),S27*(S51/100+1),0)+IF(S50&gt;0,R23*(1+S52/100),0)-R23*(1+'Input data'!S30/100),IF(S50=1,S27,R23*(1+S52/100)))</f>
        <v>66.419157542018269</v>
      </c>
      <c r="T23" s="34">
        <f>IF(AND(T50&gt;1,S50&gt;1),IF(AND(T50&gt;0,S50&gt;0),T27*(T51/100+1),0)+IF(T50&gt;0,S23*(1+T52/100),0)-S23*(1+'Input data'!T30/100),IF(T50=1,T27,S23*(1+T52/100)))</f>
        <v>67.598967015161321</v>
      </c>
      <c r="U23" s="34">
        <f>IF(AND(U50&gt;1,T50&gt;1),IF(AND(U50&gt;0,T50&gt;0),U27*(U51/100+1),0)+IF(U50&gt;0,T23*(1+U52/100),0)-T23*(1+'Input data'!U30/100),IF(U50=1,U27,T23*(1+U52/100)))</f>
        <v>68.72495895279485</v>
      </c>
      <c r="V23" s="34">
        <f>IF(AND(V50&gt;1,U50&gt;1),IF(AND(V50&gt;0,U50&gt;0),V27*(V51/100+1),0)+IF(V50&gt;0,U23*(1+V52/100),0)-U23*(1+'Input data'!V30/100),IF(V50=1,V27,U23*(1+V52/100)))</f>
        <v>69.781012100298312</v>
      </c>
      <c r="W23" s="34">
        <f>IF(AND(W50&gt;1,V50&gt;1),IF(AND(W50&gt;0,V50&gt;0),W27*(W51/100+1),0)+IF(W50&gt;0,V23*(1+W52/100),0)-V23*(1+'Input data'!W30/100),IF(W50=1,W27,V23*(1+W52/100)))</f>
        <v>70.789831307561471</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8.228491</v>
      </c>
      <c r="D24" s="100">
        <f>'Baseline NFPC'!D23</f>
        <v>2.4607920000000001</v>
      </c>
      <c r="E24" s="100">
        <f>'Baseline NFPC'!E23</f>
        <v>1.586897</v>
      </c>
      <c r="F24" s="100">
        <f>'Baseline NFPC'!F23</f>
        <v>2.3434569999999999</v>
      </c>
      <c r="G24" s="34">
        <f t="shared" ref="G24:S24" si="2">100*(G23/F23-1)</f>
        <v>2.6849850000000064</v>
      </c>
      <c r="H24" s="34">
        <f t="shared" si="2"/>
        <v>1.8560361763048983</v>
      </c>
      <c r="I24" s="34">
        <f t="shared" si="2"/>
        <v>1.9263805590576721</v>
      </c>
      <c r="J24" s="34">
        <f t="shared" si="2"/>
        <v>2.0083915211622561</v>
      </c>
      <c r="K24" s="34">
        <f t="shared" si="2"/>
        <v>2.4488634757879879</v>
      </c>
      <c r="L24" s="34">
        <f t="shared" si="2"/>
        <v>2.4465371446816819</v>
      </c>
      <c r="M24" s="34">
        <f t="shared" si="2"/>
        <v>2.4242937342682014</v>
      </c>
      <c r="N24" s="34">
        <f t="shared" si="2"/>
        <v>2.2710119999999945</v>
      </c>
      <c r="O24" s="34">
        <f t="shared" si="2"/>
        <v>2.2812250000000089</v>
      </c>
      <c r="P24" s="34">
        <f t="shared" si="2"/>
        <v>2.1648190000000067</v>
      </c>
      <c r="Q24" s="34">
        <f t="shared" si="2"/>
        <v>2.0484130000000045</v>
      </c>
      <c r="R24" s="34">
        <f t="shared" si="2"/>
        <v>1.9320039999999983</v>
      </c>
      <c r="S24" s="34">
        <f t="shared" si="2"/>
        <v>1.8762340000000099</v>
      </c>
      <c r="T24" s="34">
        <f>100*(T23/S23-1)</f>
        <v>1.7763090000000092</v>
      </c>
      <c r="U24" s="34">
        <f t="shared" ref="U24:W24" si="3">100*(U23/T23-1)</f>
        <v>1.6656940000000064</v>
      </c>
      <c r="V24" s="34">
        <f t="shared" si="3"/>
        <v>1.5366369999999963</v>
      </c>
      <c r="W24" s="34">
        <f t="shared" si="3"/>
        <v>1.4456929999999923</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45.770859999999999</v>
      </c>
      <c r="D27" s="100">
        <f>+C27*(1+'Input data'!D33/100)</f>
        <v>46.850570786552801</v>
      </c>
      <c r="E27" s="100">
        <f>+D27*(1+'Input data'!E33/100)</f>
        <v>48.25044991246093</v>
      </c>
      <c r="F27" s="100">
        <f>+E27*(1+'Input data'!F33/100)</f>
        <v>49.629799034234424</v>
      </c>
      <c r="G27" s="34">
        <f>+F27*(1+'Input data'!G33/100)</f>
        <v>51.057412114605945</v>
      </c>
      <c r="H27" s="34">
        <f>+G27*(1+'Input data'!H33/100)</f>
        <v>52.328620670192919</v>
      </c>
      <c r="I27" s="34">
        <f>+H27*(1+'Input data'!I33/100)</f>
        <v>53.55798375831845</v>
      </c>
      <c r="J27" s="34">
        <f>+I27*(1+'Input data'!J33/100)</f>
        <v>54.784555312855517</v>
      </c>
      <c r="K27" s="34">
        <f>+J27*(1+'Input data'!K33/100)</f>
        <v>56.04805370341812</v>
      </c>
      <c r="L27" s="34">
        <f>+K27*(1+'Input data'!L33/100)</f>
        <v>57.339501186760998</v>
      </c>
      <c r="M27" s="34">
        <f>+L27*(1+'Input data'!M33/100)</f>
        <v>58.648082640624835</v>
      </c>
      <c r="N27" s="34">
        <f>+M27*(1+'Input data'!N33/100)</f>
        <v>59.979985875720857</v>
      </c>
      <c r="O27" s="34">
        <f>+N27*(1+'Input data'!O33/100)</f>
        <v>61.348264308514274</v>
      </c>
      <c r="P27" s="34">
        <f>+O27*(1+'Input data'!P33/100)</f>
        <v>62.676343190435212</v>
      </c>
      <c r="Q27" s="34">
        <f>+P27*(1+'Input data'!Q33/100)</f>
        <v>63.960214179036136</v>
      </c>
      <c r="R27" s="34">
        <f>+Q27*(1+'Input data'!R33/100)</f>
        <v>65.195930633792244</v>
      </c>
      <c r="S27" s="34">
        <f>+R27*(1+'Input data'!S33/100)</f>
        <v>66.419158850959874</v>
      </c>
      <c r="T27" s="34">
        <f>+S27*(1+'Input data'!T33/100)</f>
        <v>67.598969675736953</v>
      </c>
      <c r="U27" s="34">
        <f>+T27*(1+'Input data'!U33/100)</f>
        <v>68.724963009666908</v>
      </c>
      <c r="V27" s="34">
        <f>+U27*(1+'Input data'!V33/100)</f>
        <v>69.781012783261616</v>
      </c>
      <c r="W27" s="34">
        <f>+V27*(1+'Input data'!W33/100)</f>
        <v>70.789835489448976</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2.8929541634131528</v>
      </c>
      <c r="D30" s="100">
        <f t="shared" ref="D30:W30" si="4">100*(D23/D27-1)</f>
        <v>2.9953294830951993</v>
      </c>
      <c r="E30" s="100">
        <f t="shared" si="4"/>
        <v>1.5941603087904044</v>
      </c>
      <c r="F30" s="100">
        <f t="shared" si="4"/>
        <v>1.0852241631239989</v>
      </c>
      <c r="G30" s="34">
        <f t="shared" si="4"/>
        <v>0.89702026588716066</v>
      </c>
      <c r="H30" s="34">
        <f t="shared" si="4"/>
        <v>0.27314187743385787</v>
      </c>
      <c r="I30" s="34">
        <f t="shared" si="4"/>
        <v>-0.14121131568606282</v>
      </c>
      <c r="J30" s="34">
        <f t="shared" si="4"/>
        <v>-0.41629694212075297</v>
      </c>
      <c r="K30" s="34">
        <f t="shared" si="4"/>
        <v>-0.27753129474717975</v>
      </c>
      <c r="L30" s="34">
        <f t="shared" si="4"/>
        <v>-0.13876564737359542</v>
      </c>
      <c r="M30" s="34">
        <f>100*(M23/M27-1)</f>
        <v>0</v>
      </c>
      <c r="N30" s="34">
        <f t="shared" si="4"/>
        <v>2.9333826256916495E-6</v>
      </c>
      <c r="O30" s="34">
        <f t="shared" si="4"/>
        <v>2.9333826256916495E-6</v>
      </c>
      <c r="P30" s="34">
        <f t="shared" si="4"/>
        <v>2.9333826256916495E-6</v>
      </c>
      <c r="Q30" s="34">
        <f t="shared" si="4"/>
        <v>1.9534555528721853E-6</v>
      </c>
      <c r="R30" s="34">
        <f t="shared" si="4"/>
        <v>-1.9707289689030461E-6</v>
      </c>
      <c r="S30" s="34">
        <f t="shared" si="4"/>
        <v>-1.9707289689030461E-6</v>
      </c>
      <c r="T30" s="34">
        <f t="shared" si="4"/>
        <v>-3.9358227565955417E-6</v>
      </c>
      <c r="U30" s="34">
        <f t="shared" si="4"/>
        <v>-5.9030545562777093E-6</v>
      </c>
      <c r="V30" s="34">
        <f t="shared" si="4"/>
        <v>-9.7872369098084278E-7</v>
      </c>
      <c r="W30" s="34">
        <f t="shared" si="4"/>
        <v>-5.9074688807392306E-6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11.125195175352598</v>
      </c>
      <c r="D33" s="2">
        <f t="shared" si="5"/>
        <v>9.1030095661206456</v>
      </c>
      <c r="E33" s="2">
        <f t="shared" si="5"/>
        <v>10.610319602348994</v>
      </c>
      <c r="F33" s="2">
        <f>100*((1+F24/100)*(1+F42/100)-1)</f>
        <v>5.7258795976820487</v>
      </c>
      <c r="G33" s="1">
        <f>100*((1+G24/100)*(1+G42/100)-1)</f>
        <v>5.7256835341713552</v>
      </c>
      <c r="H33" s="1">
        <f t="shared" si="5"/>
        <v>4.8198350958001734</v>
      </c>
      <c r="I33" s="1">
        <f t="shared" si="5"/>
        <v>4.8398373409270778</v>
      </c>
      <c r="J33" s="1">
        <f t="shared" si="5"/>
        <v>4.8717613331892728</v>
      </c>
      <c r="K33" s="1">
        <f t="shared" si="5"/>
        <v>5.2719397475279317</v>
      </c>
      <c r="L33" s="1">
        <f t="shared" si="5"/>
        <v>5.2168929445775447</v>
      </c>
      <c r="M33" s="1">
        <f t="shared" si="5"/>
        <v>5.141403093904251</v>
      </c>
      <c r="N33" s="1">
        <f t="shared" si="5"/>
        <v>4.9314889556191011</v>
      </c>
      <c r="O33" s="1">
        <f t="shared" si="5"/>
        <v>4.8893962375000211</v>
      </c>
      <c r="P33" s="1">
        <f t="shared" si="5"/>
        <v>4.7419265592750115</v>
      </c>
      <c r="Q33" s="1">
        <f t="shared" si="5"/>
        <v>4.5945209043499968</v>
      </c>
      <c r="R33" s="1">
        <f t="shared" si="5"/>
        <v>4.4471761987000091</v>
      </c>
      <c r="S33" s="1">
        <f t="shared" si="5"/>
        <v>4.3620141095999987</v>
      </c>
      <c r="T33" s="1">
        <f t="shared" si="5"/>
        <v>4.231662454625007</v>
      </c>
      <c r="U33" s="1">
        <f>100*((1+U24/100)*(1+U42/100)-1)</f>
        <v>4.0904208019000077</v>
      </c>
      <c r="V33" s="1">
        <f t="shared" si="5"/>
        <v>3.9303632172749792</v>
      </c>
      <c r="W33" s="1">
        <f t="shared" si="5"/>
        <v>3.8093776468999918</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1.7379089999999999</v>
      </c>
      <c r="D36" s="100">
        <f>'Input data'!D37</f>
        <v>1.6448419999999999</v>
      </c>
      <c r="E36" s="100">
        <f>'Input data'!E37</f>
        <v>1.8992169999999999</v>
      </c>
      <c r="F36" s="100">
        <f>'Input data'!F37</f>
        <v>2.1593610000000001</v>
      </c>
      <c r="G36" s="100">
        <f>'Input data'!G37</f>
        <v>2.1774469999999999</v>
      </c>
      <c r="H36" s="34">
        <f t="shared" ref="H36:W36" si="6">H101</f>
        <v>2.2733169841339604</v>
      </c>
      <c r="I36" s="34">
        <f t="shared" si="6"/>
        <v>2.3607475558071473</v>
      </c>
      <c r="J36" s="34">
        <f t="shared" si="6"/>
        <v>2.4431415909904963</v>
      </c>
      <c r="K36" s="34">
        <f t="shared" si="6"/>
        <v>2.5198266539528995</v>
      </c>
      <c r="L36" s="34">
        <f t="shared" si="6"/>
        <v>2.5973688159629482</v>
      </c>
      <c r="M36" s="34">
        <f t="shared" si="6"/>
        <v>2.6755489566848842</v>
      </c>
      <c r="N36" s="34">
        <f t="shared" si="6"/>
        <v>2.7541143960072425</v>
      </c>
      <c r="O36" s="34">
        <f t="shared" si="6"/>
        <v>2.8337065749049279</v>
      </c>
      <c r="P36" s="34">
        <f t="shared" si="6"/>
        <v>2.9108813628077219</v>
      </c>
      <c r="Q36" s="34">
        <f t="shared" si="6"/>
        <v>2.9844551995363542</v>
      </c>
      <c r="R36" s="34">
        <f t="shared" si="6"/>
        <v>3.0549671910119764</v>
      </c>
      <c r="S36" s="34">
        <f t="shared" si="6"/>
        <v>3.1219616741783081</v>
      </c>
      <c r="T36" s="34">
        <f t="shared" si="6"/>
        <v>3.1851678693625161</v>
      </c>
      <c r="U36" s="34">
        <f t="shared" si="6"/>
        <v>3.2450599286251043</v>
      </c>
      <c r="V36" s="34">
        <f t="shared" si="6"/>
        <v>3.3017809429073788</v>
      </c>
      <c r="W36" s="34">
        <f t="shared" si="6"/>
        <v>3.3548189146306986</v>
      </c>
    </row>
    <row r="37" spans="2:51" x14ac:dyDescent="0.2">
      <c r="B37" s="32" t="s">
        <v>94</v>
      </c>
      <c r="C37" s="1"/>
      <c r="D37" s="2">
        <f>'Input data'!D$39</f>
        <v>1.89</v>
      </c>
      <c r="E37" s="2">
        <f>'Input data'!E$39</f>
        <v>3.4</v>
      </c>
      <c r="F37" s="166">
        <f>'Input data'!F$39</f>
        <v>3.2130990000000001</v>
      </c>
      <c r="G37" s="166">
        <f>'Input data'!G$39</f>
        <v>3.2666849999999998</v>
      </c>
      <c r="H37" s="1">
        <f>G37+($O$37-$G$37)/($O$10-$G$10)</f>
        <v>3.3183456250000001</v>
      </c>
      <c r="I37" s="1">
        <f t="shared" ref="I37:N37" si="7">H37+($O$37-$G$37)/($O$10-$G$10)</f>
        <v>3.3700062500000003</v>
      </c>
      <c r="J37" s="1">
        <f t="shared" si="7"/>
        <v>3.4216668750000006</v>
      </c>
      <c r="K37" s="1">
        <f t="shared" si="7"/>
        <v>3.4733275000000008</v>
      </c>
      <c r="L37" s="1">
        <f t="shared" si="7"/>
        <v>3.524988125000001</v>
      </c>
      <c r="M37" s="1">
        <f t="shared" si="7"/>
        <v>3.5766487500000013</v>
      </c>
      <c r="N37" s="1">
        <f t="shared" si="7"/>
        <v>3.6283093750000015</v>
      </c>
      <c r="O37" s="252">
        <f>'Input data'!$C$52</f>
        <v>3.67997</v>
      </c>
      <c r="P37" s="1">
        <f>'Baseline NFPC'!P36</f>
        <v>3.6959714999999997</v>
      </c>
      <c r="Q37" s="1">
        <f>'Baseline NFPC'!Q36</f>
        <v>3.711973</v>
      </c>
      <c r="R37" s="1">
        <f>'Baseline NFPC'!R36</f>
        <v>3.7279745000000002</v>
      </c>
      <c r="S37" s="1">
        <f>'Baseline NFPC'!S36</f>
        <v>3.743976</v>
      </c>
      <c r="T37" s="1">
        <f>'Baseline NFPC'!T36</f>
        <v>3.7599774999999998</v>
      </c>
      <c r="U37" s="1">
        <f>'Baseline NFPC'!U36</f>
        <v>3.775979</v>
      </c>
      <c r="V37" s="1">
        <f>'Baseline NFPC'!V36</f>
        <v>3.7919805000000002</v>
      </c>
      <c r="W37" s="1">
        <f>'Baseline NFPC'!W36</f>
        <v>3.807982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G38+($O$38-$G$38)/($O$10-$G$10)</f>
        <v>2.8050893749999997</v>
      </c>
      <c r="I38" s="1">
        <f t="shared" ref="I38:N38" si="8">H38+($O$38-$G$38)/($O$10-$G$10)</f>
        <v>2.7938037499999995</v>
      </c>
      <c r="J38" s="1">
        <f t="shared" si="8"/>
        <v>2.7825181249999993</v>
      </c>
      <c r="K38" s="1">
        <f t="shared" si="8"/>
        <v>2.7712324999999991</v>
      </c>
      <c r="L38" s="1">
        <f t="shared" si="8"/>
        <v>2.7599468749999989</v>
      </c>
      <c r="M38" s="1">
        <f t="shared" si="8"/>
        <v>2.7486612499999987</v>
      </c>
      <c r="N38" s="1">
        <f t="shared" si="8"/>
        <v>2.7373756249999985</v>
      </c>
      <c r="O38" s="252">
        <f>'Input data'!$C$53</f>
        <v>2.7260900000000001</v>
      </c>
      <c r="P38" s="1">
        <f>'Baseline NFPC'!P37</f>
        <v>2.6897855000000002</v>
      </c>
      <c r="Q38" s="1">
        <f>'Baseline NFPC'!Q37</f>
        <v>2.6534810000000002</v>
      </c>
      <c r="R38" s="1">
        <f>'Baseline NFPC'!R37</f>
        <v>2.6171765000000002</v>
      </c>
      <c r="S38" s="1">
        <f>'Baseline NFPC'!S37</f>
        <v>2.5808720000000003</v>
      </c>
      <c r="T38" s="1">
        <f>'Baseline NFPC'!T37</f>
        <v>2.5445675000000003</v>
      </c>
      <c r="U38" s="1">
        <f>'Baseline NFPC'!U37</f>
        <v>2.5082629999999999</v>
      </c>
      <c r="V38" s="1">
        <f>'Baseline NFPC'!V37</f>
        <v>2.4719584999999999</v>
      </c>
      <c r="W38" s="1">
        <f>'Baseline NFPC'!W37</f>
        <v>2.435654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8.9708819999999995E-2</v>
      </c>
      <c r="D39" s="34">
        <f>'Baseline NFPC'!D38</f>
        <v>3.952174E-2</v>
      </c>
      <c r="E39" s="34">
        <f>'Baseline NFPC'!E38</f>
        <v>3.0137259999999999E-2</v>
      </c>
      <c r="F39" s="34">
        <f>'Baseline NFPC'!F38</f>
        <v>5.50765E-2</v>
      </c>
      <c r="G39" s="34">
        <f>'Baseline NFPC'!G38</f>
        <v>5.5870452222222221E-2</v>
      </c>
      <c r="H39" s="34">
        <f>'Baseline NFPC'!H38</f>
        <v>5.6664404444444441E-2</v>
      </c>
      <c r="I39" s="34">
        <f>'Baseline NFPC'!I38</f>
        <v>5.7458356666666668E-2</v>
      </c>
      <c r="J39" s="34">
        <f>'Baseline NFPC'!J38</f>
        <v>5.8252308888888889E-2</v>
      </c>
      <c r="K39" s="34">
        <f>'Baseline NFPC'!K38</f>
        <v>5.9046261111111109E-2</v>
      </c>
      <c r="L39" s="34">
        <f>'Baseline NFPC'!L38</f>
        <v>5.9840213333333329E-2</v>
      </c>
      <c r="M39" s="34">
        <f>'Baseline NFPC'!M38</f>
        <v>6.063416555555555E-2</v>
      </c>
      <c r="N39" s="34">
        <f>'Baseline NFPC'!N38</f>
        <v>6.1428117777777777E-2</v>
      </c>
      <c r="O39" s="34">
        <f>'Baseline NFPC'!O38</f>
        <v>6.2222069999999997E-2</v>
      </c>
      <c r="P39" s="34">
        <f>'Baseline NFPC'!P38</f>
        <v>6.2222069999999997E-2</v>
      </c>
      <c r="Q39" s="34">
        <f>'Baseline NFPC'!Q38</f>
        <v>6.2222069999999997E-2</v>
      </c>
      <c r="R39" s="34">
        <f>'Baseline NFPC'!R38</f>
        <v>6.2222069999999997E-2</v>
      </c>
      <c r="S39" s="34">
        <f>'Baseline NFPC'!S38</f>
        <v>6.2222069999999997E-2</v>
      </c>
      <c r="T39" s="34">
        <f>'Baseline NFPC'!T38</f>
        <v>6.2222069999999997E-2</v>
      </c>
      <c r="U39" s="34">
        <f>'Baseline NFPC'!U38</f>
        <v>6.2222069999999997E-2</v>
      </c>
      <c r="V39" s="34">
        <f>'Baseline NFPC'!V38</f>
        <v>6.2222069999999997E-2</v>
      </c>
      <c r="W39" s="34">
        <f>'Baseline NFPC'!W38</f>
        <v>6.2222069999999997E-2</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2.6764709999999998</v>
      </c>
      <c r="D42" s="2">
        <f>'Input data'!D42</f>
        <v>6.4826920000000001</v>
      </c>
      <c r="E42" s="2">
        <f>'Input data'!E42</f>
        <v>8.8824670000000001</v>
      </c>
      <c r="F42" s="2">
        <f>'Input data'!F42</f>
        <v>3.3049719999999998</v>
      </c>
      <c r="G42" s="2">
        <f>'Input data'!G42</f>
        <v>2.9611909999999999</v>
      </c>
      <c r="H42" s="1">
        <f>'Baseline NFPC'!H41</f>
        <v>2.9097921250000001</v>
      </c>
      <c r="I42" s="1">
        <f>'Baseline NFPC'!I41</f>
        <v>2.8583932499999998</v>
      </c>
      <c r="J42" s="1">
        <f>'Baseline NFPC'!J41</f>
        <v>2.8069943749999999</v>
      </c>
      <c r="K42" s="1">
        <f>'Baseline NFPC'!K41</f>
        <v>2.7555955000000001</v>
      </c>
      <c r="L42" s="1">
        <f>'Baseline NFPC'!L41</f>
        <v>2.7041966249999998</v>
      </c>
      <c r="M42" s="1">
        <f>'Baseline NFPC'!M41</f>
        <v>2.65279775</v>
      </c>
      <c r="N42" s="1">
        <f>'Baseline NFPC'!N41</f>
        <v>2.6013988749999997</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0.99995230000000002</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0.46800000000000003</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0.59801351059144037</v>
      </c>
      <c r="I51" s="34">
        <f t="shared" si="9"/>
        <v>0.18209458495590525</v>
      </c>
      <c r="J51" s="34">
        <f t="shared" si="9"/>
        <v>-9.4140877124041872E-2</v>
      </c>
      <c r="K51" s="34">
        <f t="shared" si="9"/>
        <v>-0.27753129474716864</v>
      </c>
      <c r="L51" s="34">
        <f t="shared" si="9"/>
        <v>-0.13876564737358432</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2.4607920000000001</v>
      </c>
      <c r="E52" s="34">
        <f>'Input data'!E30-$C$47*((E12-D12)-('Input data'!E13-'Input data'!D13))</f>
        <v>1.586897</v>
      </c>
      <c r="F52" s="34">
        <f>'Input data'!F30-$C$47*((F12-E12)-('Input data'!F13-'Input data'!E13))</f>
        <v>2.3434569999999999</v>
      </c>
      <c r="G52" s="34">
        <f>'Input data'!G30-$C$47*((G12-F12))</f>
        <v>2.6849849999999997</v>
      </c>
      <c r="H52" s="34">
        <f>'Input data'!H30-$C$47*((H12-G12))</f>
        <v>1.747576</v>
      </c>
      <c r="I52" s="34">
        <f>'Input data'!I30-$C$47*((I12-H12))</f>
        <v>1.4682519999999999</v>
      </c>
      <c r="J52" s="34">
        <f>'Input data'!J30-$C$47*((J12-I12))</f>
        <v>1.683325</v>
      </c>
      <c r="K52" s="34">
        <f>'Input data'!K30-$C$47*((K12-J12))</f>
        <v>2.3063069999999999</v>
      </c>
      <c r="L52" s="34">
        <f>'Input data'!L30-$C$47*((L12-K12))</f>
        <v>2.3041770000000001</v>
      </c>
      <c r="M52" s="34">
        <f>'Input data'!M30-$C$47*((M12-L12))</f>
        <v>2.282165</v>
      </c>
      <c r="N52" s="34">
        <f>'Input data'!N30-$C$47*((N12-M12))</f>
        <v>2.2710119999999998</v>
      </c>
      <c r="O52" s="34">
        <f>'Input data'!O30-$C$47*((O12-N12))</f>
        <v>2.2812250000000001</v>
      </c>
      <c r="P52" s="34">
        <f>'Input data'!P30-$C$47*((P12-O12))</f>
        <v>2.164819</v>
      </c>
      <c r="Q52" s="34">
        <f>'Input data'!Q30-$C$47*((Q12-P12))</f>
        <v>2.048413</v>
      </c>
      <c r="R52" s="34">
        <f>'Input data'!R30-$C$47*((R12-Q12))</f>
        <v>1.9320040000000001</v>
      </c>
      <c r="S52" s="34">
        <f>'Input data'!S30-$C$47*((S12-R12))</f>
        <v>1.876234</v>
      </c>
      <c r="T52" s="34">
        <f>'Input data'!T30-$C$47*((T12-S12))</f>
        <v>1.7763089999999999</v>
      </c>
      <c r="U52" s="34">
        <f>'Input data'!U30-$C$47*((U12-T12))</f>
        <v>1.665694</v>
      </c>
      <c r="V52" s="34">
        <f>'Input data'!V30-$C$47*((V12-U12))</f>
        <v>1.536637</v>
      </c>
      <c r="W52" s="34">
        <f>'Input data'!W30-$C$47*((W12-V12))</f>
        <v>1.4456929999999999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74.367679999999993</v>
      </c>
      <c r="D57" s="45">
        <f>+C57+D58</f>
        <v>72.475954801911442</v>
      </c>
      <c r="E57" s="45">
        <f>+D57+E58</f>
        <v>69.219569977397526</v>
      </c>
      <c r="F57" s="45">
        <f>+E57+F58</f>
        <v>68.073476569055501</v>
      </c>
      <c r="G57" s="45">
        <f>+F57+G58</f>
        <v>66.45039802251047</v>
      </c>
      <c r="H57" s="45">
        <f t="shared" ref="H57:S57" si="10">+G57+H58</f>
        <v>65.072880781600873</v>
      </c>
      <c r="I57" s="45">
        <f t="shared" si="10"/>
        <v>63.52490017138598</v>
      </c>
      <c r="J57" s="45">
        <f t="shared" si="10"/>
        <v>61.733292809090869</v>
      </c>
      <c r="K57" s="45">
        <f t="shared" si="10"/>
        <v>59.903668064975598</v>
      </c>
      <c r="L57" s="45">
        <f t="shared" si="10"/>
        <v>58.2956435110341</v>
      </c>
      <c r="M57" s="45">
        <f t="shared" si="10"/>
        <v>56.90347345900944</v>
      </c>
      <c r="N57" s="45">
        <f t="shared" si="10"/>
        <v>55.842955077676599</v>
      </c>
      <c r="O57" s="45">
        <f t="shared" si="10"/>
        <v>55.059105354062943</v>
      </c>
      <c r="P57" s="45">
        <f t="shared" si="10"/>
        <v>54.538128847675814</v>
      </c>
      <c r="Q57" s="45">
        <f t="shared" si="10"/>
        <v>54.320083188778682</v>
      </c>
      <c r="R57" s="45">
        <f t="shared" si="10"/>
        <v>54.371490069909413</v>
      </c>
      <c r="S57" s="45">
        <f t="shared" si="10"/>
        <v>54.632404772901488</v>
      </c>
      <c r="T57" s="45">
        <f>+S57+T58</f>
        <v>55.169423113924019</v>
      </c>
      <c r="U57" s="45">
        <f>+T57+U58</f>
        <v>56.009655330882325</v>
      </c>
      <c r="V57" s="45">
        <f t="shared" ref="V57:W57" si="11">+U57+V58</f>
        <v>57.100938629571111</v>
      </c>
      <c r="W57" s="45">
        <f t="shared" si="11"/>
        <v>58.422156778108004</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-1.8917251980885534</v>
      </c>
      <c r="E58" s="47">
        <f>-E59+E67+E72</f>
        <v>-3.2563848245139102</v>
      </c>
      <c r="F58" s="47">
        <f>-F59+F67+F72</f>
        <v>-1.1460934083420315</v>
      </c>
      <c r="G58" s="47">
        <f>-G59+G67+G72</f>
        <v>-1.6230785465450372</v>
      </c>
      <c r="H58" s="47">
        <f t="shared" ref="H58:S58" si="12">-H59+H67+H72</f>
        <v>-1.3775172409095968</v>
      </c>
      <c r="I58" s="47">
        <f t="shared" si="12"/>
        <v>-1.5479806102148932</v>
      </c>
      <c r="J58" s="47">
        <f t="shared" si="12"/>
        <v>-1.7916073622951103</v>
      </c>
      <c r="K58" s="47">
        <f t="shared" si="12"/>
        <v>-1.8296247441152733</v>
      </c>
      <c r="L58" s="47">
        <f t="shared" si="12"/>
        <v>-1.6080245539414959</v>
      </c>
      <c r="M58" s="47">
        <f t="shared" si="12"/>
        <v>-1.3921700520246629</v>
      </c>
      <c r="N58" s="47">
        <f t="shared" si="12"/>
        <v>-1.0605183813328403</v>
      </c>
      <c r="O58" s="47">
        <f t="shared" si="12"/>
        <v>-0.78384972361365879</v>
      </c>
      <c r="P58" s="47">
        <f t="shared" si="12"/>
        <v>-0.52097650638712811</v>
      </c>
      <c r="Q58" s="47">
        <f t="shared" si="12"/>
        <v>-0.21804565889713312</v>
      </c>
      <c r="R58" s="47">
        <f t="shared" si="12"/>
        <v>5.1406881130730109E-2</v>
      </c>
      <c r="S58" s="47">
        <f t="shared" si="12"/>
        <v>0.26091470299207686</v>
      </c>
      <c r="T58" s="47">
        <f>-T59+T67+T72</f>
        <v>0.53701834102253365</v>
      </c>
      <c r="U58" s="47">
        <f t="shared" ref="U58:W58" si="13">-U59+U67+U72</f>
        <v>0.84023221695830486</v>
      </c>
      <c r="V58" s="47">
        <f t="shared" si="13"/>
        <v>1.0912832986887868</v>
      </c>
      <c r="W58" s="47">
        <f t="shared" si="13"/>
        <v>1.3212181485368946</v>
      </c>
    </row>
    <row r="59" spans="2:48" outlineLevel="1" x14ac:dyDescent="0.2">
      <c r="B59" s="84" t="s">
        <v>106</v>
      </c>
      <c r="C59" s="48"/>
      <c r="D59" s="48">
        <f>D60+D61-D62-D63-D64-D65-D66</f>
        <v>-1.8615918019114464</v>
      </c>
      <c r="E59" s="48">
        <f>E60+E61-E62-E63-E64-E65-E66</f>
        <v>-1.2147641754860907</v>
      </c>
      <c r="F59" s="48">
        <f t="shared" ref="F59:R59" si="14">F60+F61-F62-F63-F64-F65-F66</f>
        <v>-1.3889442916579684</v>
      </c>
      <c r="G59" s="48">
        <f t="shared" si="14"/>
        <v>-0.86152171556480883</v>
      </c>
      <c r="H59" s="48">
        <f t="shared" si="14"/>
        <v>-0.23684460136095453</v>
      </c>
      <c r="I59" s="48">
        <f t="shared" si="14"/>
        <v>9.2381042589225748E-3</v>
      </c>
      <c r="J59" s="48">
        <f t="shared" si="14"/>
        <v>0.32049803108748764</v>
      </c>
      <c r="K59" s="48">
        <f t="shared" si="14"/>
        <v>0.2157378540583168</v>
      </c>
      <c r="L59" s="48">
        <f t="shared" si="14"/>
        <v>0.11663757702915722</v>
      </c>
      <c r="M59" s="48">
        <f t="shared" si="14"/>
        <v>2.4977399999998151E-2</v>
      </c>
      <c r="N59" s="48">
        <f t="shared" si="14"/>
        <v>-0.12025372717693172</v>
      </c>
      <c r="O59" s="48">
        <f t="shared" si="14"/>
        <v>-0.31059632717693142</v>
      </c>
      <c r="P59" s="48">
        <f t="shared" si="14"/>
        <v>-0.44153882717693471</v>
      </c>
      <c r="Q59" s="48">
        <f t="shared" si="14"/>
        <v>-0.62148178578280033</v>
      </c>
      <c r="R59" s="48">
        <f t="shared" si="14"/>
        <v>-0.77545622230115818</v>
      </c>
      <c r="S59" s="48">
        <f>S60+S61-S62-S63-S64-S65-S66</f>
        <v>-0.90696872230115755</v>
      </c>
      <c r="T59" s="48">
        <f>T60+T61-T62-T63-T64-T65-T66</f>
        <v>-1.0855322419650517</v>
      </c>
      <c r="U59" s="48">
        <f>U60+U61-U62-U63-U64-U65-U66</f>
        <v>-1.2882856626295331</v>
      </c>
      <c r="V59" s="48">
        <f t="shared" ref="V59:W59" si="15">V60+V61-V62-V63-V64-V65-V66</f>
        <v>-1.4300358580426868</v>
      </c>
      <c r="W59" s="48">
        <f t="shared" si="15"/>
        <v>-1.5712507646954375</v>
      </c>
    </row>
    <row r="60" spans="2:48" outlineLevel="1" x14ac:dyDescent="0.2">
      <c r="B60" s="79" t="s">
        <v>107</v>
      </c>
      <c r="C60" s="1"/>
      <c r="D60" s="1">
        <f>D12</f>
        <v>-3.2634059999999998</v>
      </c>
      <c r="E60" s="1">
        <f>E12</f>
        <v>-1.555059</v>
      </c>
      <c r="F60" s="1">
        <f>F12</f>
        <v>-1.244675</v>
      </c>
      <c r="G60" s="1">
        <f t="shared" ref="G60:W60" si="16">IF(G12="",F60,G12)</f>
        <v>-0.80467500000000003</v>
      </c>
      <c r="H60" s="1">
        <f t="shared" si="16"/>
        <v>-0.36467500000000003</v>
      </c>
      <c r="I60" s="1">
        <f t="shared" si="16"/>
        <v>7.5324999999999975E-2</v>
      </c>
      <c r="J60" s="1">
        <f t="shared" si="16"/>
        <v>0.51532500000000003</v>
      </c>
      <c r="K60" s="1">
        <f t="shared" si="16"/>
        <v>0.51532500000000003</v>
      </c>
      <c r="L60" s="1">
        <f t="shared" si="16"/>
        <v>0.51532500000000003</v>
      </c>
      <c r="M60" s="1">
        <f t="shared" si="16"/>
        <v>0.51532500000000003</v>
      </c>
      <c r="N60" s="1">
        <f t="shared" si="16"/>
        <v>0.51532500000000003</v>
      </c>
      <c r="O60" s="1">
        <f t="shared" si="16"/>
        <v>0.51532500000000003</v>
      </c>
      <c r="P60" s="1">
        <f t="shared" si="16"/>
        <v>0.51532500000000003</v>
      </c>
      <c r="Q60" s="1">
        <f t="shared" si="16"/>
        <v>0.51532500000000003</v>
      </c>
      <c r="R60" s="1">
        <f t="shared" si="16"/>
        <v>0.51532500000000003</v>
      </c>
      <c r="S60" s="1">
        <f t="shared" si="16"/>
        <v>0.51532500000000003</v>
      </c>
      <c r="T60" s="1">
        <f t="shared" si="16"/>
        <v>0.51532500000000003</v>
      </c>
      <c r="U60" s="1">
        <f t="shared" si="16"/>
        <v>0.51532500000000003</v>
      </c>
      <c r="V60" s="1">
        <f t="shared" si="16"/>
        <v>0.51532500000000003</v>
      </c>
      <c r="W60" s="1">
        <f t="shared" si="16"/>
        <v>0.51532500000000003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-1.4018141980885535</v>
      </c>
      <c r="E62" s="1">
        <f t="shared" si="17"/>
        <v>-0.74606702451390927</v>
      </c>
      <c r="F62" s="1">
        <f t="shared" si="17"/>
        <v>-0.50788490834203148</v>
      </c>
      <c r="G62" s="1">
        <f t="shared" si="17"/>
        <v>-0.41980548443519122</v>
      </c>
      <c r="H62" s="1">
        <f t="shared" si="17"/>
        <v>-0.12783039863904549</v>
      </c>
      <c r="I62" s="1">
        <f t="shared" si="17"/>
        <v>6.6086895741077401E-2</v>
      </c>
      <c r="J62" s="1">
        <f t="shared" si="17"/>
        <v>0.19482696891251239</v>
      </c>
      <c r="K62" s="1">
        <f t="shared" si="17"/>
        <v>0.12988464594168012</v>
      </c>
      <c r="L62" s="1">
        <f t="shared" si="17"/>
        <v>6.4942322970842667E-2</v>
      </c>
      <c r="M62" s="1">
        <f>-$C$48*M30</f>
        <v>0</v>
      </c>
      <c r="N62" s="1">
        <f t="shared" si="17"/>
        <v>-1.3728230688236922E-6</v>
      </c>
      <c r="O62" s="1">
        <f t="shared" si="17"/>
        <v>-1.3728230688236922E-6</v>
      </c>
      <c r="P62" s="1">
        <f t="shared" si="17"/>
        <v>-1.3728230688236922E-6</v>
      </c>
      <c r="Q62" s="1">
        <f t="shared" si="17"/>
        <v>-9.1421719874418281E-7</v>
      </c>
      <c r="R62" s="1">
        <f t="shared" si="17"/>
        <v>9.2230115744662566E-7</v>
      </c>
      <c r="S62" s="1">
        <f t="shared" si="17"/>
        <v>9.2230115744662566E-7</v>
      </c>
      <c r="T62" s="1">
        <f t="shared" si="17"/>
        <v>1.8419650500867137E-6</v>
      </c>
      <c r="U62" s="1">
        <f>-$C$48*U30</f>
        <v>2.7626295323379683E-6</v>
      </c>
      <c r="V62" s="1">
        <f t="shared" si="17"/>
        <v>4.5804268737903443E-7</v>
      </c>
      <c r="W62" s="1">
        <f t="shared" si="17"/>
        <v>2.7646954361859601E-6</v>
      </c>
    </row>
    <row r="63" spans="2:48" outlineLevel="1" x14ac:dyDescent="0.2">
      <c r="B63" s="79" t="s">
        <v>110</v>
      </c>
      <c r="C63" s="1"/>
      <c r="D63" s="1">
        <f t="shared" ref="D63:W63" si="18">-D14</f>
        <v>0</v>
      </c>
      <c r="E63" s="1">
        <f t="shared" si="18"/>
        <v>0.40577220000000003</v>
      </c>
      <c r="F63" s="1">
        <f t="shared" si="18"/>
        <v>0.65215420000000002</v>
      </c>
      <c r="G63" s="1">
        <f t="shared" si="18"/>
        <v>0.47665220000000003</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0.1706200000000031</v>
      </c>
      <c r="L64" s="1">
        <f>IF(L$56&lt;=$C$6,0,HLOOKUP(L$56,'Input data'!$C$9:$BB$26,12,FALSE)-HLOOKUP($C$6,'Input data'!$C$9:$BB$26,12,FALSE))</f>
        <v>0.33558000000000021</v>
      </c>
      <c r="M64" s="1">
        <f>IF(M$56&lt;=$C$6,0,HLOOKUP(M$56,'Input data'!$C$9:$BB$26,12,FALSE)-HLOOKUP($C$6,'Input data'!$C$9:$BB$26,12,FALSE))</f>
        <v>0.49310000000000187</v>
      </c>
      <c r="N64" s="1">
        <f>IF(N$56&lt;=$C$6,0,HLOOKUP(N$56,'Input data'!$C$9:$BB$26,12,FALSE)-HLOOKUP($C$6,'Input data'!$C$9:$BB$26,12,FALSE))</f>
        <v>0.63925000000000054</v>
      </c>
      <c r="O64" s="1">
        <f>IF(O$56&lt;=$C$6,0,HLOOKUP(O$56,'Input data'!$C$9:$BB$26,12,FALSE)-HLOOKUP($C$6,'Input data'!$C$9:$BB$26,12,FALSE))</f>
        <v>0.8305100000000003</v>
      </c>
      <c r="P64" s="1">
        <f>IF(P$56&lt;=$C$6,0,HLOOKUP(P$56,'Input data'!$C$9:$BB$26,12,FALSE)-HLOOKUP($C$6,'Input data'!$C$9:$BB$26,12,FALSE))</f>
        <v>0.9623700000000035</v>
      </c>
      <c r="Q64" s="1">
        <f>IF(Q$56&lt;=$C$6,0,HLOOKUP(Q$56,'Input data'!$C$9:$BB$26,12,FALSE)-HLOOKUP($C$6,'Input data'!$C$9:$BB$26,12,FALSE))</f>
        <v>1.1432299999999991</v>
      </c>
      <c r="R64" s="1">
        <f>IF(R$56&lt;=$C$6,0,HLOOKUP(R$56,'Input data'!$C$9:$BB$26,12,FALSE)-HLOOKUP($C$6,'Input data'!$C$9:$BB$26,12,FALSE))</f>
        <v>1.2981200000000008</v>
      </c>
      <c r="S64" s="1">
        <f>IF(S$56&lt;=$C$6,0,HLOOKUP(S$56,'Input data'!$C$9:$BB$26,12,FALSE)-HLOOKUP($C$6,'Input data'!$C$9:$BB$26,12,FALSE))</f>
        <v>1.4305500000000002</v>
      </c>
      <c r="T64" s="1">
        <f>IF(T$56&lt;=$C$6,0,HLOOKUP(T$56,'Input data'!$C$9:$BB$26,12,FALSE)-HLOOKUP($C$6,'Input data'!$C$9:$BB$26,12,FALSE))</f>
        <v>1.6100300000000018</v>
      </c>
      <c r="U64" s="1">
        <f>IF(U$56&lt;=$C$6,0,HLOOKUP(U$56,'Input data'!$C$9:$BB$26,12,FALSE)-HLOOKUP($C$6,'Input data'!$C$9:$BB$26,12,FALSE))</f>
        <v>1.8137000000000008</v>
      </c>
      <c r="V64" s="1">
        <f>IF(V$56&lt;=$C$6,0,HLOOKUP(V$56,'Input data'!$C$9:$BB$26,12,FALSE)-HLOOKUP($C$6,'Input data'!$C$9:$BB$26,12,FALSE))</f>
        <v>1.9563699999999997</v>
      </c>
      <c r="W64" s="1">
        <f>IF(W$56&lt;=$C$6,0,HLOOKUP(W$56,'Input data'!$C$9:$BB$26,12,FALSE)-HLOOKUP($C$6,'Input data'!$C$9:$BB$26,12,FALSE))</f>
        <v>2.0985000000000014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-9.1750000000001553E-4</v>
      </c>
      <c r="L65" s="1">
        <f>IF(L$56&lt;=$C$6,0,-HLOOKUP(L$56,'Input data'!$C$9:$BB$26,18,FALSE)+HLOOKUP($C$6,'Input data'!$C$9:$BB$26,18,FALSE))</f>
        <v>-1.8349000000000837E-3</v>
      </c>
      <c r="M65" s="1">
        <f>IF(M$56&lt;=$C$6,0,-HLOOKUP(M$56,'Input data'!$C$9:$BB$26,18,FALSE)+HLOOKUP($C$6,'Input data'!$C$9:$BB$26,18,FALSE))</f>
        <v>-2.7523999999999882E-3</v>
      </c>
      <c r="N65" s="1">
        <f>IF(N$56&lt;=$C$6,0,-HLOOKUP(N$56,'Input data'!$C$9:$BB$26,18,FALSE)+HLOOKUP($C$6,'Input data'!$C$9:$BB$26,18,FALSE))</f>
        <v>-3.6699000000000037E-3</v>
      </c>
      <c r="O65" s="1">
        <f>IF(O$56&lt;=$C$6,0,-HLOOKUP(O$56,'Input data'!$C$9:$BB$26,18,FALSE)+HLOOKUP($C$6,'Input data'!$C$9:$BB$26,18,FALSE))</f>
        <v>-4.5873000000000719E-3</v>
      </c>
      <c r="P65" s="1">
        <f>IF(P$56&lt;=$C$6,0,-HLOOKUP(P$56,'Input data'!$C$9:$BB$26,18,FALSE)+HLOOKUP($C$6,'Input data'!$C$9:$BB$26,18,FALSE))</f>
        <v>-5.5047999999999764E-3</v>
      </c>
      <c r="Q65" s="1">
        <f>IF(Q$56&lt;=$C$6,0,-HLOOKUP(Q$56,'Input data'!$C$9:$BB$26,18,FALSE)+HLOOKUP($C$6,'Input data'!$C$9:$BB$26,18,FALSE))</f>
        <v>-6.4222999999999919E-3</v>
      </c>
      <c r="R65" s="1">
        <f>IF(R$56&lt;=$C$6,0,-HLOOKUP(R$56,'Input data'!$C$9:$BB$26,18,FALSE)+HLOOKUP($C$6,'Input data'!$C$9:$BB$26,18,FALSE))</f>
        <v>-7.3397000000000601E-3</v>
      </c>
      <c r="S65" s="1">
        <f>IF(S$56&lt;=$C$6,0,-HLOOKUP(S$56,'Input data'!$C$9:$BB$26,18,FALSE)+HLOOKUP($C$6,'Input data'!$C$9:$BB$26,18,FALSE))</f>
        <v>-8.2572000000000756E-3</v>
      </c>
      <c r="T65" s="1">
        <f>IF(T$56&lt;=$C$6,0,-HLOOKUP(T$56,'Input data'!$C$9:$BB$26,18,FALSE)+HLOOKUP($C$6,'Input data'!$C$9:$BB$26,18,FALSE))</f>
        <v>-9.1746000000000327E-3</v>
      </c>
      <c r="U65" s="264">
        <f>IF(U$56&lt;=$C$6,0,-HLOOKUP(U$56,'Input data'!$C$9:$BB$26,18,FALSE)+HLOOKUP($C$6,'Input data'!$C$9:$BB$26,18,FALSE))</f>
        <v>-1.0092100000000048E-2</v>
      </c>
      <c r="V65" s="264">
        <f>IF(V$56&lt;=$C$6,0,-HLOOKUP(V$56,'Input data'!$C$9:$BB$26,18,FALSE)+HLOOKUP($C$6,'Input data'!$C$9:$BB$26,18,FALSE))</f>
        <v>-1.1009600000000064E-2</v>
      </c>
      <c r="W65" s="264">
        <f>IF(W$56&lt;=$C$6,0,-HLOOKUP(W$56,'Input data'!$C$9:$BB$26,18,FALSE)+HLOOKUP($C$6,'Input data'!$C$9:$BB$26,18,FALSE))</f>
        <v>-1.1927000000000021E-2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-5.0836959999999998</v>
      </c>
      <c r="E67" s="48">
        <f t="shared" si="19"/>
        <v>-5.7078360000000004</v>
      </c>
      <c r="F67" s="48">
        <f t="shared" si="19"/>
        <v>-2.3350279999999999</v>
      </c>
      <c r="G67" s="48">
        <f t="shared" si="19"/>
        <v>-2.2845987621098462</v>
      </c>
      <c r="H67" s="48">
        <f t="shared" si="19"/>
        <v>-1.6143618422705515</v>
      </c>
      <c r="I67" s="48">
        <f t="shared" si="19"/>
        <v>-1.5387425059559707</v>
      </c>
      <c r="J67" s="48">
        <f t="shared" si="19"/>
        <v>-1.4711093312076227</v>
      </c>
      <c r="K67" s="48">
        <f t="shared" si="19"/>
        <v>-1.6138868900569565</v>
      </c>
      <c r="L67" s="48">
        <f t="shared" si="19"/>
        <v>-1.4913869769123387</v>
      </c>
      <c r="M67" s="48">
        <f t="shared" si="19"/>
        <v>-1.3671926520246647</v>
      </c>
      <c r="N67" s="48">
        <f t="shared" si="19"/>
        <v>-1.180772108509772</v>
      </c>
      <c r="O67" s="48">
        <f t="shared" si="19"/>
        <v>-1.0944460507905902</v>
      </c>
      <c r="P67" s="48">
        <f t="shared" ref="P67:W67" si="20">SUM(P68:P71)</f>
        <v>-0.96251533356406282</v>
      </c>
      <c r="Q67" s="48">
        <f t="shared" si="20"/>
        <v>-0.83952744467993345</v>
      </c>
      <c r="R67" s="48">
        <f t="shared" si="20"/>
        <v>-0.72404934117042807</v>
      </c>
      <c r="S67" s="48">
        <f t="shared" si="20"/>
        <v>-0.64605401930908068</v>
      </c>
      <c r="T67" s="48">
        <f t="shared" si="20"/>
        <v>-0.54851390094251806</v>
      </c>
      <c r="U67" s="48">
        <f t="shared" si="20"/>
        <v>-0.44805344567122829</v>
      </c>
      <c r="V67" s="48">
        <f t="shared" si="20"/>
        <v>-0.33875255935390014</v>
      </c>
      <c r="W67" s="48">
        <f t="shared" si="20"/>
        <v>-0.25003261615854289</v>
      </c>
    </row>
    <row r="68" spans="2:23" outlineLevel="1" x14ac:dyDescent="0.2">
      <c r="B68" s="79" t="s">
        <v>115</v>
      </c>
      <c r="C68" s="34"/>
      <c r="D68" s="34">
        <f t="shared" ref="D68:E68" si="21">C57*D36/100*(1/(1+D33/100))</f>
        <v>1.1211705707570556</v>
      </c>
      <c r="E68" s="34">
        <f t="shared" si="21"/>
        <v>1.2444369200439294</v>
      </c>
      <c r="F68" s="34">
        <f>E57*F36/100*(1/(1+F33/100))</f>
        <v>1.4137507336400548</v>
      </c>
      <c r="G68" s="34">
        <f>F57*G36/100*(1/(1+G33/100))</f>
        <v>1.4019903431218044</v>
      </c>
      <c r="H68" s="34">
        <f t="shared" ref="H68:W68" si="22">G57*H36/100*(1/(1+H33/100))</f>
        <v>1.441166343077823</v>
      </c>
      <c r="I68" s="34">
        <f t="shared" si="22"/>
        <v>1.4652888458319284</v>
      </c>
      <c r="J68" s="34">
        <f>I57*J36/100*(1/(1+J33/100))</f>
        <v>1.4799057792034565</v>
      </c>
      <c r="K68" s="34">
        <f t="shared" si="22"/>
        <v>1.4776700897665271</v>
      </c>
      <c r="L68" s="34">
        <f t="shared" si="22"/>
        <v>1.4787731802318129</v>
      </c>
      <c r="M68" s="34">
        <f t="shared" si="22"/>
        <v>1.4834579298501298</v>
      </c>
      <c r="N68" s="34">
        <f t="shared" si="22"/>
        <v>1.493533323467451</v>
      </c>
      <c r="O68" s="34">
        <f t="shared" si="22"/>
        <v>1.508661071967901</v>
      </c>
      <c r="P68" s="34">
        <f t="shared" si="22"/>
        <v>1.5301467988304491</v>
      </c>
      <c r="Q68" s="34">
        <f t="shared" si="22"/>
        <v>1.5561675774706893</v>
      </c>
      <c r="R68" s="34">
        <f t="shared" si="22"/>
        <v>1.5888038144666043</v>
      </c>
      <c r="S68" s="34">
        <f t="shared" si="22"/>
        <v>1.6265085492500968</v>
      </c>
      <c r="T68" s="34">
        <f t="shared" si="22"/>
        <v>1.6694867587323203</v>
      </c>
      <c r="U68" s="34">
        <f t="shared" si="22"/>
        <v>1.7199285280350272</v>
      </c>
      <c r="V68" s="34">
        <f t="shared" si="22"/>
        <v>1.7793800277951803</v>
      </c>
      <c r="W68" s="34">
        <f t="shared" si="22"/>
        <v>1.8453372257874474</v>
      </c>
    </row>
    <row r="69" spans="2:23" outlineLevel="1" x14ac:dyDescent="0.2">
      <c r="B69" s="79" t="s">
        <v>116</v>
      </c>
      <c r="C69" s="34"/>
      <c r="D69" s="34">
        <f t="shared" ref="D69:W69" si="23">-C57*(D24/100)*(1/(1+D33/100))</f>
        <v>-1.677345040529362</v>
      </c>
      <c r="E69" s="34">
        <f t="shared" si="23"/>
        <v>-1.0397933543702227</v>
      </c>
      <c r="F69" s="34">
        <f t="shared" si="23"/>
        <v>-1.5342798415845809</v>
      </c>
      <c r="G69" s="34">
        <f t="shared" si="23"/>
        <v>-1.7287782625372314</v>
      </c>
      <c r="H69" s="34">
        <f t="shared" si="23"/>
        <v>-1.1766317180991306</v>
      </c>
      <c r="I69" s="34">
        <f t="shared" si="23"/>
        <v>-1.195682248646696</v>
      </c>
      <c r="J69" s="34">
        <f t="shared" si="23"/>
        <v>-1.2165607716031901</v>
      </c>
      <c r="K69" s="34">
        <f t="shared" si="23"/>
        <v>-1.4360560502910074</v>
      </c>
      <c r="L69" s="34">
        <f t="shared" si="23"/>
        <v>-1.3928994187353789</v>
      </c>
      <c r="M69" s="34">
        <f t="shared" si="23"/>
        <v>-1.3441494895470565</v>
      </c>
      <c r="N69" s="34">
        <f t="shared" si="23"/>
        <v>-1.2315509133940621</v>
      </c>
      <c r="O69" s="34">
        <f t="shared" si="23"/>
        <v>-1.2145207215095852</v>
      </c>
      <c r="P69" s="34">
        <f t="shared" si="23"/>
        <v>-1.1379683504868938</v>
      </c>
      <c r="Q69" s="34">
        <f t="shared" si="23"/>
        <v>-1.0680923929984578</v>
      </c>
      <c r="R69" s="34">
        <f t="shared" si="23"/>
        <v>-1.004781764529497</v>
      </c>
      <c r="S69" s="34">
        <f t="shared" si="23"/>
        <v>-0.97749779141568882</v>
      </c>
      <c r="T69" s="34">
        <f t="shared" si="23"/>
        <v>-0.93104177755961992</v>
      </c>
      <c r="U69" s="34">
        <f t="shared" si="23"/>
        <v>-0.88284182498614239</v>
      </c>
      <c r="V69" s="34">
        <f t="shared" si="23"/>
        <v>-0.82811707834361836</v>
      </c>
      <c r="W69" s="34">
        <f t="shared" si="23"/>
        <v>-0.79521165757287704</v>
      </c>
    </row>
    <row r="70" spans="2:23" outlineLevel="1" x14ac:dyDescent="0.2">
      <c r="B70" s="79" t="s">
        <v>117</v>
      </c>
      <c r="C70" s="34"/>
      <c r="D70" s="34">
        <f t="shared" ref="D70:W70" si="24">-C57*D42/100*(1/(1+D42/100))</f>
        <v>-4.5275223150308781</v>
      </c>
      <c r="E70" s="34">
        <f t="shared" si="24"/>
        <v>-5.9124787907447942</v>
      </c>
      <c r="F70" s="34">
        <f t="shared" si="24"/>
        <v>-2.214498839681593</v>
      </c>
      <c r="G70" s="34">
        <f t="shared" si="24"/>
        <v>-1.9578111344399465</v>
      </c>
      <c r="H70" s="34">
        <f t="shared" si="24"/>
        <v>-1.8788964672492439</v>
      </c>
      <c r="I70" s="34">
        <f t="shared" si="24"/>
        <v>-1.8083491031412031</v>
      </c>
      <c r="J70" s="34">
        <f t="shared" si="24"/>
        <v>-1.734454338807889</v>
      </c>
      <c r="K70" s="34">
        <f t="shared" si="24"/>
        <v>-1.6555009295324763</v>
      </c>
      <c r="L70" s="34">
        <f t="shared" si="24"/>
        <v>-1.5772607384087727</v>
      </c>
      <c r="M70" s="34">
        <f t="shared" si="24"/>
        <v>-1.506501092327738</v>
      </c>
      <c r="N70" s="34">
        <f t="shared" si="24"/>
        <v>-1.4427545185831609</v>
      </c>
      <c r="O70" s="34">
        <f t="shared" si="24"/>
        <v>-1.388586401248906</v>
      </c>
      <c r="P70" s="34">
        <f t="shared" si="24"/>
        <v>-1.3546937819076181</v>
      </c>
      <c r="Q70" s="34">
        <f t="shared" si="24"/>
        <v>-1.327602629152165</v>
      </c>
      <c r="R70" s="34">
        <f t="shared" si="24"/>
        <v>-1.3080713911075355</v>
      </c>
      <c r="S70" s="34">
        <f t="shared" si="24"/>
        <v>-1.2950647771434887</v>
      </c>
      <c r="T70" s="34">
        <f t="shared" si="24"/>
        <v>-1.2869588821152185</v>
      </c>
      <c r="U70" s="34">
        <f t="shared" si="24"/>
        <v>-1.2851401487201131</v>
      </c>
      <c r="V70" s="34">
        <f t="shared" si="24"/>
        <v>-1.2900155088054621</v>
      </c>
      <c r="W70" s="34">
        <f t="shared" si="24"/>
        <v>-1.3001581843731134</v>
      </c>
    </row>
    <row r="71" spans="2:23" outlineLevel="1" x14ac:dyDescent="0.2">
      <c r="B71" s="79" t="s">
        <v>118</v>
      </c>
      <c r="C71" s="49"/>
      <c r="D71" s="49">
        <f>'Baseline NFPC'!D70</f>
        <v>7.8480318421725315E-7</v>
      </c>
      <c r="E71" s="49">
        <f>'Baseline NFPC'!E70</f>
        <v>-7.7492891303876377E-7</v>
      </c>
      <c r="F71" s="49">
        <f>'Baseline NFPC'!F70</f>
        <v>-5.237388078782601E-8</v>
      </c>
      <c r="G71" s="49">
        <f>'Baseline NFPC'!G70</f>
        <v>2.917455272921643E-7</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1.330379</v>
      </c>
      <c r="E72" s="50">
        <f>'Input data'!E16</f>
        <v>1.2366870000000001</v>
      </c>
      <c r="F72" s="50">
        <f>'Input data'!F16</f>
        <v>-0.20000970000000001</v>
      </c>
      <c r="G72" s="50">
        <f>'Input data'!G16</f>
        <v>-0.2000015</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1.3303780000000001</v>
      </c>
      <c r="E73" s="34">
        <f t="shared" si="25"/>
        <v>1.2366839999999999</v>
      </c>
      <c r="F73" s="34">
        <f t="shared" si="25"/>
        <v>-0.20000760000000001</v>
      </c>
      <c r="G73" s="34">
        <f t="shared" si="25"/>
        <v>-0.2</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9.9999999991773336E-7</v>
      </c>
      <c r="E74" s="49">
        <f t="shared" ref="E74:W74" si="26">+E72-E73</f>
        <v>3.0000000001972893E-6</v>
      </c>
      <c r="F74" s="49">
        <f t="shared" si="26"/>
        <v>-2.1000000000048757E-6</v>
      </c>
      <c r="G74" s="49">
        <f t="shared" si="26"/>
        <v>-1.4999999999876223E-6</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-2.982762372668502</v>
      </c>
      <c r="E77" s="78">
        <f t="shared" ref="E77:W77" si="27">E59-E68</f>
        <v>-2.4592010955300201</v>
      </c>
      <c r="F77" s="78">
        <f t="shared" si="27"/>
        <v>-2.8026950252980232</v>
      </c>
      <c r="G77" s="78">
        <f>G59-G68</f>
        <v>-2.2635120586866133</v>
      </c>
      <c r="H77" s="78">
        <f t="shared" si="27"/>
        <v>-1.6780109444387774</v>
      </c>
      <c r="I77" s="78">
        <f t="shared" si="27"/>
        <v>-1.456050741573006</v>
      </c>
      <c r="J77" s="78">
        <f t="shared" si="27"/>
        <v>-1.1594077481159688</v>
      </c>
      <c r="K77" s="78">
        <f t="shared" si="27"/>
        <v>-1.2619322357082103</v>
      </c>
      <c r="L77" s="78">
        <f t="shared" si="27"/>
        <v>-1.3621356032026557</v>
      </c>
      <c r="M77" s="78">
        <f t="shared" si="27"/>
        <v>-1.4584805298501315</v>
      </c>
      <c r="N77" s="78">
        <f t="shared" si="27"/>
        <v>-1.6137870506443828</v>
      </c>
      <c r="O77" s="78">
        <f t="shared" si="27"/>
        <v>-1.8192573991448324</v>
      </c>
      <c r="P77" s="78">
        <f t="shared" si="27"/>
        <v>-1.9716856260073838</v>
      </c>
      <c r="Q77" s="78">
        <f t="shared" si="27"/>
        <v>-2.1776493632534897</v>
      </c>
      <c r="R77" s="78">
        <f t="shared" si="27"/>
        <v>-2.3642600367677624</v>
      </c>
      <c r="S77" s="78">
        <f t="shared" si="27"/>
        <v>-2.5334772715512544</v>
      </c>
      <c r="T77" s="78">
        <f t="shared" si="27"/>
        <v>-2.7550190006973718</v>
      </c>
      <c r="U77" s="78">
        <f t="shared" si="27"/>
        <v>-3.0082141906645603</v>
      </c>
      <c r="V77" s="78">
        <f t="shared" si="27"/>
        <v>-3.209415885837867</v>
      </c>
      <c r="W77" s="78">
        <f t="shared" si="27"/>
        <v>-3.4165879904828849</v>
      </c>
    </row>
    <row r="78" spans="2:23" x14ac:dyDescent="0.2">
      <c r="B78" s="26" t="s">
        <v>42</v>
      </c>
      <c r="D78" s="34">
        <f>D60-D68-D64-D65-D66</f>
        <v>-4.384576570757055</v>
      </c>
      <c r="E78" s="34">
        <f t="shared" ref="E78:W78" si="28">E60-E68-E64-E65-E66</f>
        <v>-2.7994959200439293</v>
      </c>
      <c r="F78" s="34">
        <f t="shared" si="28"/>
        <v>-2.6584257336400547</v>
      </c>
      <c r="G78" s="34">
        <f t="shared" si="28"/>
        <v>-2.2066653431218044</v>
      </c>
      <c r="H78" s="34">
        <f t="shared" si="28"/>
        <v>-1.8058413430778231</v>
      </c>
      <c r="I78" s="34">
        <f t="shared" si="28"/>
        <v>-1.3899638458319283</v>
      </c>
      <c r="J78" s="34">
        <f t="shared" si="28"/>
        <v>-0.96458077920345642</v>
      </c>
      <c r="K78" s="34">
        <f t="shared" si="28"/>
        <v>-1.1320475897665303</v>
      </c>
      <c r="L78" s="34">
        <f t="shared" si="28"/>
        <v>-1.2971932802318129</v>
      </c>
      <c r="M78" s="34">
        <f t="shared" si="28"/>
        <v>-1.4584805298501315</v>
      </c>
      <c r="N78" s="34">
        <f t="shared" si="28"/>
        <v>-1.6137884234674515</v>
      </c>
      <c r="O78" s="34">
        <f t="shared" si="28"/>
        <v>-1.8192587719679012</v>
      </c>
      <c r="P78" s="34">
        <f t="shared" si="28"/>
        <v>-1.9716869988304526</v>
      </c>
      <c r="Q78" s="34">
        <f t="shared" si="28"/>
        <v>-2.1776502774706885</v>
      </c>
      <c r="R78" s="34">
        <f t="shared" si="28"/>
        <v>-2.3642591144666047</v>
      </c>
      <c r="S78" s="34">
        <f t="shared" si="28"/>
        <v>-2.5334763492500967</v>
      </c>
      <c r="T78" s="34">
        <f t="shared" si="28"/>
        <v>-2.755017158732322</v>
      </c>
      <c r="U78" s="34">
        <f t="shared" si="28"/>
        <v>-3.0082114280350276</v>
      </c>
      <c r="V78" s="34">
        <f t="shared" si="28"/>
        <v>-3.2094154277951801</v>
      </c>
      <c r="W78" s="34">
        <f t="shared" si="28"/>
        <v>-3.4165852257874487</v>
      </c>
    </row>
    <row r="79" spans="2:23" x14ac:dyDescent="0.2">
      <c r="B79" s="35" t="s">
        <v>123</v>
      </c>
      <c r="C79" s="35"/>
      <c r="D79" s="285">
        <f>'Input data'!D45</f>
        <v>13.570048119137473</v>
      </c>
      <c r="E79" s="285">
        <f>'Input data'!E45</f>
        <v>9.3812780142752157</v>
      </c>
      <c r="F79" s="285">
        <f>'Input data'!F45</f>
        <v>5.6134088664592108</v>
      </c>
      <c r="G79" s="49">
        <f>'Input data'!G33+G42-(G$12-F$12)/'Input data'!$C$64*100</f>
        <v>4.8931067176377612</v>
      </c>
      <c r="H79" s="49">
        <f>'Input data'!H33+H42-(H$12-G$12)/'Input data'!$C$64*100</f>
        <v>4.4549468426377619</v>
      </c>
      <c r="I79" s="49">
        <f>'Input data'!I33+I42-(I$12-H$12)/'Input data'!$C$64*100</f>
        <v>4.2630979676377612</v>
      </c>
      <c r="J79" s="49">
        <f>'Input data'!J33+J42-(J$12-I$12)/'Input data'!$C$64*100</f>
        <v>4.1525610926377619</v>
      </c>
      <c r="K79" s="49">
        <f>'Input data'!K33+K42-(K$12-J$12)/'Input data'!$C$64*100</f>
        <v>5.0618995</v>
      </c>
      <c r="L79" s="49">
        <f>'Input data'!L33+L42-(L$12-K$12)/'Input data'!$C$64*100</f>
        <v>5.0083756249999993</v>
      </c>
      <c r="M79" s="49">
        <f>'Input data'!M33+M42-(M$12-L$12)/'Input data'!$C$64*100</f>
        <v>4.9349617499999994</v>
      </c>
      <c r="N79" s="49">
        <f>'Input data'!N33+N42-(N$12-M$12)/'Input data'!$C$64*100</f>
        <v>4.8724078749999995</v>
      </c>
      <c r="O79" s="49">
        <f>'Input data'!O33+O42-(O$12-N$12)/'Input data'!$C$64*100</f>
        <v>4.8312249999999999</v>
      </c>
      <c r="P79" s="49">
        <f>'Input data'!P33+P42-(P$12-O$12)/'Input data'!$C$64*100</f>
        <v>4.6873190000000005</v>
      </c>
      <c r="Q79" s="49">
        <f>'Input data'!Q33+Q42-(Q$12-P$12)/'Input data'!$C$64*100</f>
        <v>4.5434140000000003</v>
      </c>
      <c r="R79" s="49">
        <f>'Input data'!R33+R42-(R$12-Q$12)/'Input data'!$C$64*100</f>
        <v>4.399508</v>
      </c>
      <c r="S79" s="49">
        <f>'Input data'!S33+S42-(S$12-R$12)/'Input data'!$C$64*100</f>
        <v>4.3162339999999997</v>
      </c>
      <c r="T79" s="49">
        <f>'Input data'!T33+T42-(T$12-S$12)/'Input data'!$C$64*100</f>
        <v>4.1888109999999994</v>
      </c>
      <c r="U79" s="49">
        <f>'Input data'!U33+U42-(U$12-T$12)/'Input data'!$C$64*100</f>
        <v>4.0506960000000003</v>
      </c>
      <c r="V79" s="49">
        <f>'Input data'!V33+V42-(V$12-U$12)/'Input data'!$C$64*100</f>
        <v>3.8941319999999999</v>
      </c>
      <c r="W79" s="49">
        <f>'Input data'!W33+W42-(W$12-V$12)/'Input data'!$C$64*100</f>
        <v>3.7756980000000002</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4.4409281551377617</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1</v>
      </c>
      <c r="S83" s="258">
        <f t="shared" si="29"/>
        <v>1</v>
      </c>
      <c r="T83" s="258">
        <f t="shared" si="29"/>
        <v>1</v>
      </c>
      <c r="U83" s="78">
        <f t="shared" si="29"/>
        <v>1</v>
      </c>
      <c r="V83" s="78">
        <f t="shared" si="29"/>
        <v>1</v>
      </c>
      <c r="W83" s="78">
        <f t="shared" si="29"/>
        <v>1</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74.367679999999993</v>
      </c>
      <c r="D92" s="110">
        <f>D57</f>
        <v>72.475954801911442</v>
      </c>
      <c r="E92" s="110">
        <f>E57</f>
        <v>69.219569977397526</v>
      </c>
      <c r="F92" s="110">
        <f>F57</f>
        <v>68.073476569055501</v>
      </c>
      <c r="G92" s="110">
        <f>G57</f>
        <v>66.45039802251047</v>
      </c>
      <c r="H92" s="110">
        <f t="shared" ref="H92:W92" si="32">G92*(1+H106/100)*H43-H60-H61+H62+H63+H64+H65+H66+H72</f>
        <v>65.072880781600873</v>
      </c>
      <c r="I92" s="110">
        <f t="shared" si="32"/>
        <v>63.524900171385994</v>
      </c>
      <c r="J92" s="110">
        <f t="shared" si="32"/>
        <v>61.733292809090884</v>
      </c>
      <c r="K92" s="110">
        <f t="shared" si="32"/>
        <v>59.903668064975619</v>
      </c>
      <c r="L92" s="110">
        <f t="shared" si="32"/>
        <v>58.295643511034129</v>
      </c>
      <c r="M92" s="110">
        <f t="shared" si="32"/>
        <v>56.903473459009483</v>
      </c>
      <c r="N92" s="110">
        <f t="shared" si="32"/>
        <v>55.842955077676642</v>
      </c>
      <c r="O92" s="110">
        <f t="shared" si="32"/>
        <v>55.059105354062979</v>
      </c>
      <c r="P92" s="110">
        <f t="shared" si="32"/>
        <v>54.53812884767585</v>
      </c>
      <c r="Q92" s="110">
        <f t="shared" si="32"/>
        <v>54.320083188778725</v>
      </c>
      <c r="R92" s="110">
        <f t="shared" si="32"/>
        <v>54.371490069909441</v>
      </c>
      <c r="S92" s="110">
        <f t="shared" si="32"/>
        <v>54.632404772901523</v>
      </c>
      <c r="T92" s="110">
        <f t="shared" si="32"/>
        <v>55.169423113924061</v>
      </c>
      <c r="U92" s="110">
        <f t="shared" si="32"/>
        <v>56.00965533088236</v>
      </c>
      <c r="V92" s="110">
        <f t="shared" si="32"/>
        <v>57.100938629571161</v>
      </c>
      <c r="W92" s="110">
        <f t="shared" si="32"/>
        <v>58.422156778108061</v>
      </c>
    </row>
    <row r="93" spans="2:23" x14ac:dyDescent="0.2">
      <c r="B93" s="26" t="s">
        <v>127</v>
      </c>
      <c r="C93" s="34"/>
      <c r="D93" s="254">
        <f>'Input data'!C66*$D$92</f>
        <v>64.060964244374262</v>
      </c>
      <c r="E93" s="34">
        <f t="shared" ref="E93:W93" si="33">IF(E92=0,0,IF(E87=1,D92*E43/((1+E24/100)*(1+E42/100))-E94-E95,IF(AND(E87=0,E88=1),(1-D98-E39*D99)*D92*E43/((1+E24/100)*(1+E42/100)),E92)))</f>
        <v>62.18233333201178</v>
      </c>
      <c r="F93" s="34">
        <f t="shared" si="33"/>
        <v>60.507217589514426</v>
      </c>
      <c r="G93" s="34">
        <f t="shared" si="33"/>
        <v>59.437354139717591</v>
      </c>
      <c r="H93" s="34">
        <f t="shared" si="33"/>
        <v>58.458440753876012</v>
      </c>
      <c r="I93" s="34">
        <f t="shared" si="33"/>
        <v>57.176529407960771</v>
      </c>
      <c r="J93" s="34">
        <f t="shared" si="33"/>
        <v>55.743130935855646</v>
      </c>
      <c r="K93" s="34">
        <f t="shared" si="33"/>
        <v>53.912398818789327</v>
      </c>
      <c r="L93" s="34">
        <f t="shared" si="33"/>
        <v>52.29011044441252</v>
      </c>
      <c r="M93" s="34">
        <f t="shared" si="33"/>
        <v>50.871898479675522</v>
      </c>
      <c r="N93" s="34">
        <f t="shared" si="33"/>
        <v>49.705826906186203</v>
      </c>
      <c r="O93" s="34">
        <f t="shared" si="33"/>
        <v>48.748616177273583</v>
      </c>
      <c r="P93" s="34">
        <f t="shared" si="33"/>
        <v>48.122008020453414</v>
      </c>
      <c r="Q93" s="34">
        <f t="shared" si="33"/>
        <v>47.723342282080004</v>
      </c>
      <c r="R93" s="34">
        <f t="shared" si="33"/>
        <v>47.588397451350545</v>
      </c>
      <c r="S93" s="34">
        <f t="shared" si="33"/>
        <v>47.660622363054621</v>
      </c>
      <c r="T93" s="34">
        <f t="shared" si="33"/>
        <v>47.937235379740748</v>
      </c>
      <c r="U93" s="34">
        <f t="shared" si="33"/>
        <v>48.461679686691944</v>
      </c>
      <c r="V93" s="34">
        <f t="shared" si="33"/>
        <v>49.262588666266936</v>
      </c>
      <c r="W93" s="34">
        <f t="shared" si="33"/>
        <v>50.267872201583046</v>
      </c>
    </row>
    <row r="94" spans="2:23" x14ac:dyDescent="0.2">
      <c r="B94" s="105" t="s">
        <v>128</v>
      </c>
      <c r="C94" s="34"/>
      <c r="D94" s="254">
        <f>'Input data'!C67*$D$92</f>
        <v>2.6359801746474867</v>
      </c>
      <c r="E94" s="34">
        <f t="shared" ref="E94:W94" si="34">IF(E92=0,0,IF(E87=1,E39*D92*D99*E43/((1+E24/100)*(1+E42/100)),IF(AND(E87=0,E88=1),(E39*D92*D99*E43/((1+E24/100)*(1+E42/100)))*(1-ABS(E92-D92*E43/((1+E24/100)*(1+E42/100)))/((E39*D92*D99*E43/((1+E24/100)*(1+E42/100)))+(D98*D92*E43/((1+E24/100)*(1+E42/100))))),0)))</f>
        <v>1.9322374906716235</v>
      </c>
      <c r="F94" s="34">
        <f t="shared" si="34"/>
        <v>3.5267677960902559</v>
      </c>
      <c r="G94" s="34">
        <f t="shared" si="34"/>
        <v>3.5173052919428573</v>
      </c>
      <c r="H94" s="34">
        <f t="shared" si="34"/>
        <v>3.5114891727565909</v>
      </c>
      <c r="I94" s="34">
        <f t="shared" si="34"/>
        <v>3.4855429921019607</v>
      </c>
      <c r="J94" s="34">
        <f t="shared" si="34"/>
        <v>3.4480212825136918</v>
      </c>
      <c r="K94" s="34">
        <f t="shared" si="34"/>
        <v>3.3830840414530639</v>
      </c>
      <c r="L94" s="34">
        <f t="shared" si="34"/>
        <v>3.3282122981575797</v>
      </c>
      <c r="M94" s="34">
        <f t="shared" si="34"/>
        <v>3.2836782022909374</v>
      </c>
      <c r="N94" s="34">
        <f t="shared" si="34"/>
        <v>3.2531715974761268</v>
      </c>
      <c r="O94" s="34">
        <f t="shared" si="34"/>
        <v>3.2344969007592761</v>
      </c>
      <c r="P94" s="34">
        <f t="shared" si="34"/>
        <v>3.1929211125593602</v>
      </c>
      <c r="Q94" s="34">
        <f t="shared" si="34"/>
        <v>3.1664694264126489</v>
      </c>
      <c r="R94" s="34">
        <f t="shared" si="34"/>
        <v>3.1575157643193368</v>
      </c>
      <c r="S94" s="34">
        <f t="shared" si="34"/>
        <v>3.1623079260540394</v>
      </c>
      <c r="T94" s="34">
        <f t="shared" si="34"/>
        <v>3.1806613484758648</v>
      </c>
      <c r="U94" s="34">
        <f t="shared" si="34"/>
        <v>3.2154585102924353</v>
      </c>
      <c r="V94" s="34">
        <f t="shared" si="34"/>
        <v>3.2685992518225158</v>
      </c>
      <c r="W94" s="34">
        <f t="shared" si="34"/>
        <v>3.3353003550402964</v>
      </c>
    </row>
    <row r="95" spans="2:23" x14ac:dyDescent="0.2">
      <c r="B95" s="105" t="s">
        <v>129</v>
      </c>
      <c r="C95" s="34"/>
      <c r="D95" s="254">
        <f>'Input data'!C68*$D$92</f>
        <v>1.4658670971213696</v>
      </c>
      <c r="E95" s="34">
        <f t="shared" ref="E95:W95" si="35">IF(E92=0,0,IF(E87=1,(1-D99)*D92*E43/((1+E24/100)*(1+E42/100)),IF(AND(E87=0,E88=1),(D98*D92*E43/((1+E24/100)*(1+E42/100)))*(1-ABS(E92-D92*E43/((1+E24/100)*(1+E42/100)))/((E39*D92*D99*E43/((1+E24/100)*(1+E42/100)))+(D98*D92*E43/((1+E24/100)*(1+E42/100))))),0)))</f>
        <v>1.4091118341130224</v>
      </c>
      <c r="F95" s="34">
        <f t="shared" si="35"/>
        <v>1.4367993634475367</v>
      </c>
      <c r="G95" s="34">
        <f t="shared" si="35"/>
        <v>1.4322277404178712</v>
      </c>
      <c r="H95" s="34">
        <f t="shared" si="35"/>
        <v>1.4249399105294891</v>
      </c>
      <c r="I95" s="34">
        <f t="shared" si="35"/>
        <v>1.4067770297502447</v>
      </c>
      <c r="J95" s="34">
        <f t="shared" si="35"/>
        <v>1.3827328426055638</v>
      </c>
      <c r="K95" s="34">
        <f t="shared" si="35"/>
        <v>1.3462529690250069</v>
      </c>
      <c r="L95" s="34">
        <f t="shared" si="35"/>
        <v>1.3151851652613622</v>
      </c>
      <c r="M95" s="34">
        <f t="shared" si="35"/>
        <v>1.2894162471928843</v>
      </c>
      <c r="N95" s="34">
        <f t="shared" si="35"/>
        <v>1.2701695233699286</v>
      </c>
      <c r="O95" s="34">
        <f t="shared" si="35"/>
        <v>1.2567348768852837</v>
      </c>
      <c r="P95" s="34">
        <f t="shared" si="35"/>
        <v>1.2515140886556881</v>
      </c>
      <c r="Q95" s="34">
        <f t="shared" si="35"/>
        <v>1.2526221170325831</v>
      </c>
      <c r="R95" s="34">
        <f t="shared" si="35"/>
        <v>1.261316817471801</v>
      </c>
      <c r="S95" s="34">
        <f t="shared" si="35"/>
        <v>1.275997212241605</v>
      </c>
      <c r="T95" s="34">
        <f t="shared" si="35"/>
        <v>1.2965073850100717</v>
      </c>
      <c r="U95" s="34">
        <f t="shared" si="35"/>
        <v>1.3243029432334275</v>
      </c>
      <c r="V95" s="34">
        <f t="shared" si="35"/>
        <v>1.3603348256438408</v>
      </c>
      <c r="W95" s="34">
        <f t="shared" si="35"/>
        <v>1.402396231001825</v>
      </c>
    </row>
    <row r="96" spans="2:23" x14ac:dyDescent="0.2">
      <c r="B96" s="105" t="s">
        <v>130</v>
      </c>
      <c r="C96" s="34"/>
      <c r="D96" s="254">
        <f>'Input data'!C69*$D$92</f>
        <v>4.2203872796227522</v>
      </c>
      <c r="E96" s="34">
        <f>IF(E92=0,0,IF(E87=1,'Input data'!$C$58*(E92-D92*E43/((1+E24/100)*(1+E42/100))),0))</f>
        <v>3.5859302377484346</v>
      </c>
      <c r="F96" s="34">
        <f>IF(F92=0,0,IF(F87=1,'Input data'!$C$58*(F92-E92*F43/((1+F24/100)*(1+F42/100))),0))</f>
        <v>2.525258615128005</v>
      </c>
      <c r="G96" s="34">
        <f>IF(G92=0,0,IF(G87=1,'Input data'!$C$58*(G92-F92*G43/((1+G24/100)*(1+G42/100))),0))</f>
        <v>2.0021189264187753</v>
      </c>
      <c r="H96" s="34">
        <f>IF(H92=0,0,IF(H87=1,'Input data'!$C$58*(H92-G92*H43/((1+H24/100)*(1+H42/100))),0))</f>
        <v>1.6280881052285947</v>
      </c>
      <c r="I96" s="34">
        <f>IF(I92=0,0,IF(I87=1,'Input data'!$C$58*(I92-H92*I43/((1+I24/100)*(1+I42/100))),0))</f>
        <v>1.4127314847503287</v>
      </c>
      <c r="J96" s="34">
        <f>IF(J92=0,0,IF(J87=1,'Input data'!$C$58*(J92-I92*J43/((1+J24/100)*(1+J42/100))),0))</f>
        <v>1.1249139763202334</v>
      </c>
      <c r="K96" s="34">
        <f>IF(K92=0,0,IF(K87=1,'Input data'!$C$58*(K92-J92*K43/((1+K24/100)*(1+K42/100))),0))</f>
        <v>1.2243882373772133</v>
      </c>
      <c r="L96" s="34">
        <f>IF(L92=0,0,IF(L87=1,'Input data'!$C$58*(L92-K92*L43/((1+L24/100)*(1+L42/100))),0))</f>
        <v>1.3216104344446638</v>
      </c>
      <c r="M96" s="34">
        <f>IF(M92=0,0,IF(M87=1,'Input data'!$C$58*(M92-L92*M43/((1+M24/100)*(1+M42/100))),0))</f>
        <v>1.4150889839104648</v>
      </c>
      <c r="N96" s="34">
        <f>IF(N92=0,0,IF(N87=1,'Input data'!$C$58*(N92-M92*N43/((1+N24/100)*(1+N42/100))),0))</f>
        <v>1.565774949343252</v>
      </c>
      <c r="O96" s="34">
        <f>IF(O92=0,0,IF(O87=1,'Input data'!$C$58*(O92-N92*O43/((1+O24/100)*(1+O42/100))),0))</f>
        <v>1.7651323084114006</v>
      </c>
      <c r="P96" s="34">
        <f>IF(P92=0,0,IF(P87=1,'Input data'!$C$58*(P92-O92*P43/((1+P24/100)*(1+P42/100))),0))</f>
        <v>1.9130256126109144</v>
      </c>
      <c r="Q96" s="34">
        <f>IF(Q92=0,0,IF(Q87=1,'Input data'!$C$58*(Q92-P92*Q43/((1+Q24/100)*(1+Q42/100))),0))</f>
        <v>2.1128616815174666</v>
      </c>
      <c r="R96" s="34">
        <f>IF(R92=0,0,IF(R87=1,'Input data'!$C$58*(R92-Q92*R43/((1+R24/100)*(1+R42/100))),0))</f>
        <v>2.2939204635618751</v>
      </c>
      <c r="S96" s="34">
        <f>IF(S92=0,0,IF(S87=1,'Input data'!$C$58*(S92-R92*S43/((1+S24/100)*(1+S42/100))),0))</f>
        <v>2.4581032825498799</v>
      </c>
      <c r="T96" s="34">
        <f>IF(T92=0,0,IF(T87=1,'Input data'!$C$58*(T92-S92*T43/((1+T24/100)*(1+T42/100))),0))</f>
        <v>2.6730538794038261</v>
      </c>
      <c r="U96" s="34">
        <f>IF(U92=0,0,IF(U87=1,'Input data'!$C$58*(U92-T92*U43/((1+U24/100)*(1+U42/100))),0))</f>
        <v>2.9187162086352538</v>
      </c>
      <c r="V96" s="34">
        <f>IF(V92=0,0,IF(V87=1,'Input data'!$C$58*(V92-U92*V43/((1+V24/100)*(1+V42/100))),0))</f>
        <v>3.113931911935131</v>
      </c>
      <c r="W96" s="34">
        <f>IF(W92=0,0,IF(W87=1,'Input data'!$C$58*(W92-V92*W43/((1+W24/100)*(1+W42/100))),0))</f>
        <v>3.314940397860441</v>
      </c>
    </row>
    <row r="97" spans="2:25" x14ac:dyDescent="0.2">
      <c r="B97" s="107" t="s">
        <v>131</v>
      </c>
      <c r="C97" s="49"/>
      <c r="D97" s="255">
        <f>'Input data'!C70*$D$92</f>
        <v>9.275580614555777E-2</v>
      </c>
      <c r="E97" s="49">
        <f>IF(E92=0,0,IF(E87=1,'Input data'!$C$57*(E92-D92*E43/((1+E24/100)*(1+E42/100))),0))</f>
        <v>0.1099570828526675</v>
      </c>
      <c r="F97" s="49">
        <f>IF(F92=0,0,IF(F87=1,'Input data'!$C$57*(F92-E92*F43/((1+F24/100)*(1+F42/100))),0))</f>
        <v>7.7433204875281783E-2</v>
      </c>
      <c r="G97" s="49">
        <f>IF(G92=0,0,IF(G87=1,'Input data'!$C$57*(G92-F92*G43/((1+G24/100)*(1+G42/100))),0))</f>
        <v>6.1391924013377043E-2</v>
      </c>
      <c r="H97" s="49">
        <f>IF(H92=0,0,IF(H87=1,'Input data'!$C$57*(H92-G92*H43/((1+H24/100)*(1+H42/100))),0))</f>
        <v>4.9922839210187087E-2</v>
      </c>
      <c r="I97" s="49">
        <f>IF(I92=0,0,IF(I87=1,'Input data'!$C$57*(I92-H92*I43/((1+I24/100)*(1+I42/100))),0))</f>
        <v>4.3319256822687106E-2</v>
      </c>
      <c r="J97" s="49">
        <f>IF(J92=0,0,IF(J87=1,'Input data'!$C$57*(J92-I92*J43/((1+J24/100)*(1+J42/100))),0))</f>
        <v>3.4493771795748189E-2</v>
      </c>
      <c r="K97" s="49">
        <f>IF(K92=0,0,IF(K87=1,'Input data'!$C$57*(K92-J92*K43/((1+K24/100)*(1+K42/100))),0))</f>
        <v>3.7543998331002255E-2</v>
      </c>
      <c r="L97" s="49">
        <f>IF(L92=0,0,IF(L87=1,'Input data'!$C$57*(L92-K92*L43/((1+L24/100)*(1+L42/100))),0))</f>
        <v>4.0525168758003181E-2</v>
      </c>
      <c r="M97" s="49">
        <f>IF(M92=0,0,IF(M87=1,'Input data'!$C$57*(M92-L92*M43/((1+M24/100)*(1+M42/100))),0))</f>
        <v>4.3391545939677548E-2</v>
      </c>
      <c r="N97" s="49">
        <f>IF(N92=0,0,IF(N87=1,'Input data'!$C$57*(N92-M92*N43/((1+N24/100)*(1+N42/100))),0))</f>
        <v>4.801210130113117E-2</v>
      </c>
      <c r="O97" s="49">
        <f>IF(O92=0,0,IF(O87=1,'Input data'!$C$57*(O92-N92*O43/((1+O24/100)*(1+O42/100))),0))</f>
        <v>5.4125090733437915E-2</v>
      </c>
      <c r="P97" s="49">
        <f>IF(P92=0,0,IF(P87=1,'Input data'!$C$57*(P92-O92*P43/((1+P24/100)*(1+P42/100))),0))</f>
        <v>5.8660013396470922E-2</v>
      </c>
      <c r="Q97" s="49">
        <f>IF(Q92=0,0,IF(Q87=1,'Input data'!$C$57*(Q92-P92*Q43/((1+Q24/100)*(1+Q42/100))),0))</f>
        <v>6.4787681736027336E-2</v>
      </c>
      <c r="R97" s="49">
        <f>IF(R92=0,0,IF(R87=1,'Input data'!$C$57*(R92-Q92*R43/((1+R24/100)*(1+R42/100))),0))</f>
        <v>7.0339573205884978E-2</v>
      </c>
      <c r="S97" s="49">
        <f>IF(S92=0,0,IF(S87=1,'Input data'!$C$57*(S92-R92*S43/((1+S24/100)*(1+S42/100))),0))</f>
        <v>7.5373989001375707E-2</v>
      </c>
      <c r="T97" s="49">
        <f>IF(T92=0,0,IF(T87=1,'Input data'!$C$57*(T92-S92*T43/((1+T24/100)*(1+T42/100))),0))</f>
        <v>8.1965121293547702E-2</v>
      </c>
      <c r="U97" s="49">
        <f>IF(U92=0,0,IF(U87=1,'Input data'!$C$57*(U92-T92*U43/((1+U24/100)*(1+U42/100))),0))</f>
        <v>8.9497982029299247E-2</v>
      </c>
      <c r="V97" s="49">
        <f>IF(V92=0,0,IF(V87=1,'Input data'!$C$57*(V92-U92*V43/((1+V24/100)*(1+V42/100))),0))</f>
        <v>9.5483973902739647E-2</v>
      </c>
      <c r="W97" s="49">
        <f>IF(W92=0,0,IF(W87=1,'Input data'!$C$57*(W92-V92*W43/((1+W24/100)*(1+W42/100))),0))</f>
        <v>0.10164759262245472</v>
      </c>
    </row>
    <row r="98" spans="2:25" x14ac:dyDescent="0.2">
      <c r="B98" s="26" t="s">
        <v>73</v>
      </c>
      <c r="C98" s="36"/>
      <c r="D98" s="260">
        <f>'Baseline NFPC'!$D$93</f>
        <v>2.1505382130210027E-2</v>
      </c>
      <c r="E98" s="36">
        <f t="shared" ref="E98:W98" si="36">IF(E92&lt;&gt;0,(E95+E97)/(E93+E94+E95+E96+E97),0)</f>
        <v>2.1945656661284028E-2</v>
      </c>
      <c r="F98" s="36">
        <f t="shared" si="36"/>
        <v>2.2244090424656682E-2</v>
      </c>
      <c r="G98" s="36">
        <f t="shared" si="36"/>
        <v>2.2477211707976161E-2</v>
      </c>
      <c r="H98" s="36">
        <f t="shared" si="36"/>
        <v>2.2664783424751783E-2</v>
      </c>
      <c r="I98" s="36">
        <f t="shared" si="36"/>
        <v>2.2827210789165626E-2</v>
      </c>
      <c r="J98" s="36">
        <f t="shared" si="36"/>
        <v>2.2957249644597125E-2</v>
      </c>
      <c r="K98" s="36">
        <f t="shared" si="36"/>
        <v>2.3100371180192977E-2</v>
      </c>
      <c r="L98" s="36">
        <f t="shared" si="36"/>
        <v>2.3255774400410524E-2</v>
      </c>
      <c r="M98" s="36">
        <f t="shared" si="36"/>
        <v>2.3422257238701824E-2</v>
      </c>
      <c r="N98" s="36">
        <f t="shared" si="36"/>
        <v>2.3605155257945976E-2</v>
      </c>
      <c r="O98" s="36">
        <f t="shared" si="36"/>
        <v>2.3808232247674713E-2</v>
      </c>
      <c r="P98" s="36">
        <f t="shared" si="36"/>
        <v>2.4023084945056606E-2</v>
      </c>
      <c r="Q98" s="36">
        <f t="shared" si="36"/>
        <v>2.425272056727551E-2</v>
      </c>
      <c r="R98" s="36">
        <f t="shared" si="36"/>
        <v>2.4491813429528542E-2</v>
      </c>
      <c r="S98" s="36">
        <f t="shared" si="36"/>
        <v>2.4735707806757223E-2</v>
      </c>
      <c r="T98" s="36">
        <f t="shared" si="36"/>
        <v>2.4986168578509396E-2</v>
      </c>
      <c r="U98" s="36">
        <f>IF(U92&lt;&gt;0,(U95+U97)/(U93+U94+U95+U96+U97),0)</f>
        <v>2.5242092937558056E-2</v>
      </c>
      <c r="V98" s="36">
        <f t="shared" si="36"/>
        <v>2.5495531850901098E-2</v>
      </c>
      <c r="W98" s="34">
        <f t="shared" si="36"/>
        <v>2.5744407713956131E-2</v>
      </c>
    </row>
    <row r="99" spans="2:25" x14ac:dyDescent="0.2">
      <c r="B99" s="35" t="s">
        <v>74</v>
      </c>
      <c r="C99" s="108"/>
      <c r="D99" s="261">
        <f>'Baseline NFPC'!$D$94</f>
        <v>0.97849461786978997</v>
      </c>
      <c r="E99" s="108">
        <f t="shared" ref="E99:W99" si="37">IF(E92&lt;&gt;0,(E93+E94+E96)/(E93+E94+E95+E96+E97),1)</f>
        <v>0.97805434333871588</v>
      </c>
      <c r="F99" s="108">
        <f t="shared" si="37"/>
        <v>0.97775590957534342</v>
      </c>
      <c r="G99" s="108">
        <f t="shared" si="37"/>
        <v>0.97752278829202377</v>
      </c>
      <c r="H99" s="108">
        <f t="shared" si="37"/>
        <v>0.97733521657524813</v>
      </c>
      <c r="I99" s="108">
        <f t="shared" si="37"/>
        <v>0.97717278921083439</v>
      </c>
      <c r="J99" s="108">
        <f t="shared" si="37"/>
        <v>0.97704275035540289</v>
      </c>
      <c r="K99" s="108">
        <f t="shared" si="37"/>
        <v>0.97689962881980696</v>
      </c>
      <c r="L99" s="108">
        <f t="shared" si="37"/>
        <v>0.97674422559958951</v>
      </c>
      <c r="M99" s="108">
        <f t="shared" si="37"/>
        <v>0.97657774276129827</v>
      </c>
      <c r="N99" s="108">
        <f t="shared" si="37"/>
        <v>0.97639484474205396</v>
      </c>
      <c r="O99" s="108">
        <f t="shared" si="37"/>
        <v>0.9761917677523253</v>
      </c>
      <c r="P99" s="108">
        <f t="shared" si="37"/>
        <v>0.97597691505494344</v>
      </c>
      <c r="Q99" s="108">
        <f t="shared" si="37"/>
        <v>0.97574727943272455</v>
      </c>
      <c r="R99" s="108">
        <f t="shared" si="37"/>
        <v>0.97550818657047145</v>
      </c>
      <c r="S99" s="108">
        <f t="shared" si="37"/>
        <v>0.97526429219324273</v>
      </c>
      <c r="T99" s="108">
        <f t="shared" si="37"/>
        <v>0.97501383142149056</v>
      </c>
      <c r="U99" s="108">
        <f t="shared" si="37"/>
        <v>0.97475790706244192</v>
      </c>
      <c r="V99" s="108">
        <f t="shared" si="37"/>
        <v>0.97450446814909897</v>
      </c>
      <c r="W99" s="49">
        <f t="shared" si="37"/>
        <v>0.97425559228604386</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1.7379089999999999</v>
      </c>
      <c r="D101" s="115">
        <f>'Baseline NFPC'!D96</f>
        <v>1.6448419999999999</v>
      </c>
      <c r="E101" s="115">
        <f>'Baseline NFPC'!E96</f>
        <v>1.8992169999999999</v>
      </c>
      <c r="F101" s="115">
        <f>'Baseline NFPC'!F96</f>
        <v>2.1593610000000001</v>
      </c>
      <c r="G101" s="115">
        <f>'Baseline NFPC'!G96</f>
        <v>2.1774469999999999</v>
      </c>
      <c r="H101" s="115">
        <f t="shared" ref="H101:W101" si="38">H103+H104</f>
        <v>2.2733169841339604</v>
      </c>
      <c r="I101" s="115">
        <f t="shared" si="38"/>
        <v>2.3607475558071473</v>
      </c>
      <c r="J101" s="115">
        <f>J103+J104</f>
        <v>2.4431415909904963</v>
      </c>
      <c r="K101" s="115">
        <f t="shared" si="38"/>
        <v>2.5198266539528995</v>
      </c>
      <c r="L101" s="115">
        <f t="shared" si="38"/>
        <v>2.5973688159629482</v>
      </c>
      <c r="M101" s="115">
        <f t="shared" si="38"/>
        <v>2.6755489566848842</v>
      </c>
      <c r="N101" s="115">
        <f t="shared" si="38"/>
        <v>2.7541143960072425</v>
      </c>
      <c r="O101" s="115">
        <f t="shared" si="38"/>
        <v>2.8337065749049279</v>
      </c>
      <c r="P101" s="115">
        <f t="shared" si="38"/>
        <v>2.9108813628077219</v>
      </c>
      <c r="Q101" s="115">
        <f t="shared" si="38"/>
        <v>2.9844551995363542</v>
      </c>
      <c r="R101" s="115">
        <f t="shared" si="38"/>
        <v>3.0549671910119764</v>
      </c>
      <c r="S101" s="115">
        <f t="shared" si="38"/>
        <v>3.1219616741783081</v>
      </c>
      <c r="T101" s="115">
        <f t="shared" si="38"/>
        <v>3.1851678693625161</v>
      </c>
      <c r="U101" s="115">
        <f t="shared" si="38"/>
        <v>3.2450599286251043</v>
      </c>
      <c r="V101" s="115">
        <f t="shared" si="38"/>
        <v>3.3017809429073788</v>
      </c>
      <c r="W101" s="115">
        <f t="shared" si="38"/>
        <v>3.3548189146306986</v>
      </c>
    </row>
    <row r="102" spans="2:25" x14ac:dyDescent="0.2">
      <c r="B102" s="33" t="s">
        <v>133</v>
      </c>
      <c r="C102" s="34"/>
      <c r="D102" s="34"/>
      <c r="E102" s="266">
        <f>((E36*D92)-(E38*(D95+D97)))/(D93+D94+D96)</f>
        <v>1.8655734180047423</v>
      </c>
      <c r="F102" s="266">
        <f>((F36*E92)-(F38*(E95+E97)))/(E93+E94+E96)</f>
        <v>2.1278389377203197</v>
      </c>
      <c r="G102" s="266">
        <f>((G36*F92)-(G38*(F95+F97)))/(F93+F94+F96)</f>
        <v>2.1629112942398399</v>
      </c>
      <c r="H102" s="34">
        <f t="shared" ref="H102:W102" si="39">IF(G92&gt;0,(G102*G93+H37*(G96+G94))/(G93+G94+G96),H37)</f>
        <v>2.2610893811019768</v>
      </c>
      <c r="I102" s="34">
        <f t="shared" si="39"/>
        <v>2.3507048143959435</v>
      </c>
      <c r="J102" s="34">
        <f t="shared" si="39"/>
        <v>2.4352135973293261</v>
      </c>
      <c r="K102" s="34">
        <f t="shared" si="39"/>
        <v>2.5139194541218632</v>
      </c>
      <c r="L102" s="34">
        <f t="shared" si="39"/>
        <v>2.5935243948999078</v>
      </c>
      <c r="M102" s="34">
        <f t="shared" si="39"/>
        <v>2.6738081908275899</v>
      </c>
      <c r="N102" s="34">
        <f t="shared" si="39"/>
        <v>2.7545158589765735</v>
      </c>
      <c r="O102" s="34">
        <f t="shared" si="39"/>
        <v>2.8363082948675422</v>
      </c>
      <c r="P102" s="34">
        <f t="shared" si="39"/>
        <v>2.9162736451692566</v>
      </c>
      <c r="Q102" s="34">
        <f t="shared" si="39"/>
        <v>2.9926019304553293</v>
      </c>
      <c r="R102" s="34">
        <f t="shared" si="39"/>
        <v>3.0658487128156962</v>
      </c>
      <c r="S102" s="34">
        <f t="shared" si="39"/>
        <v>3.1355466625270059</v>
      </c>
      <c r="T102" s="34">
        <f t="shared" si="39"/>
        <v>3.2014154687920175</v>
      </c>
      <c r="U102" s="34">
        <f t="shared" si="39"/>
        <v>3.2639414374544868</v>
      </c>
      <c r="V102" s="34">
        <f t="shared" si="39"/>
        <v>3.3232698224268735</v>
      </c>
      <c r="W102" s="34">
        <f t="shared" si="39"/>
        <v>3.3788666220790877</v>
      </c>
    </row>
    <row r="103" spans="2:25" x14ac:dyDescent="0.2">
      <c r="B103" s="26" t="s">
        <v>134</v>
      </c>
      <c r="C103" s="34"/>
      <c r="D103" s="34"/>
      <c r="E103" s="34">
        <f t="shared" ref="E103:W103" si="40">(E102*(D93+D94+D96)+E38*(D95+D97))/D92</f>
        <v>1.8992170000000002</v>
      </c>
      <c r="F103" s="34">
        <f t="shared" si="40"/>
        <v>2.1593610000000001</v>
      </c>
      <c r="G103" s="34">
        <f t="shared" si="40"/>
        <v>2.1774469999999999</v>
      </c>
      <c r="H103" s="34">
        <f t="shared" si="40"/>
        <v>2.2733169841339604</v>
      </c>
      <c r="I103" s="34">
        <f t="shared" si="40"/>
        <v>2.3607475558071473</v>
      </c>
      <c r="J103" s="34">
        <f t="shared" si="40"/>
        <v>2.4431415909904963</v>
      </c>
      <c r="K103" s="34">
        <f t="shared" si="40"/>
        <v>2.5198266539528995</v>
      </c>
      <c r="L103" s="34">
        <f t="shared" si="40"/>
        <v>2.5973688159629482</v>
      </c>
      <c r="M103" s="34">
        <f t="shared" si="40"/>
        <v>2.6755489566848842</v>
      </c>
      <c r="N103" s="34">
        <f t="shared" si="40"/>
        <v>2.7541143960072425</v>
      </c>
      <c r="O103" s="34">
        <f t="shared" si="40"/>
        <v>2.8337065749049279</v>
      </c>
      <c r="P103" s="34">
        <f t="shared" si="40"/>
        <v>2.9108813628077219</v>
      </c>
      <c r="Q103" s="34">
        <f t="shared" si="40"/>
        <v>2.9844551995363542</v>
      </c>
      <c r="R103" s="34">
        <f t="shared" si="40"/>
        <v>3.0549671910119764</v>
      </c>
      <c r="S103" s="34">
        <f t="shared" si="40"/>
        <v>3.1219616741783081</v>
      </c>
      <c r="T103" s="34">
        <f t="shared" si="40"/>
        <v>3.1851678693625161</v>
      </c>
      <c r="U103" s="34">
        <f t="shared" si="40"/>
        <v>3.2450599286251043</v>
      </c>
      <c r="V103" s="34">
        <f t="shared" si="40"/>
        <v>3.3017809429073788</v>
      </c>
      <c r="W103" s="34">
        <f t="shared" si="40"/>
        <v>3.3548189146306986</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-8.4474867832985296</v>
      </c>
      <c r="D106" s="115">
        <f t="shared" si="41"/>
        <v>-6.835895357772614</v>
      </c>
      <c r="E106" s="115">
        <f t="shared" si="41"/>
        <v>-7.87548814040675</v>
      </c>
      <c r="F106" s="115">
        <f t="shared" si="41"/>
        <v>-3.373363845497146</v>
      </c>
      <c r="G106" s="115">
        <f t="shared" si="41"/>
        <v>-3.3560781217598312</v>
      </c>
      <c r="H106" s="115">
        <f t="shared" si="41"/>
        <v>-2.4294238865562257</v>
      </c>
      <c r="I106" s="115">
        <f t="shared" si="41"/>
        <v>-2.3646448220424165</v>
      </c>
      <c r="J106" s="115">
        <f t="shared" si="41"/>
        <v>-2.3157995167858103</v>
      </c>
      <c r="K106" s="115">
        <f t="shared" si="41"/>
        <v>-2.6142893350074026</v>
      </c>
      <c r="L106" s="115">
        <f t="shared" si="41"/>
        <v>-2.4896421623041176</v>
      </c>
      <c r="M106" s="115">
        <f t="shared" si="41"/>
        <v>-2.3452741400236454</v>
      </c>
      <c r="N106" s="115">
        <f t="shared" si="41"/>
        <v>-2.0750439942130106</v>
      </c>
      <c r="O106" s="115">
        <f t="shared" si="41"/>
        <v>-1.9598641391169846</v>
      </c>
      <c r="P106" s="115">
        <f t="shared" si="41"/>
        <v>-1.7481492432078416</v>
      </c>
      <c r="Q106" s="115">
        <f t="shared" si="41"/>
        <v>-1.5393403888584345</v>
      </c>
      <c r="R106" s="115">
        <f t="shared" si="41"/>
        <v>-1.3329312082497102</v>
      </c>
      <c r="S106" s="115">
        <f t="shared" si="41"/>
        <v>-1.1882220231198337</v>
      </c>
      <c r="T106" s="115">
        <f t="shared" si="41"/>
        <v>-1.0040083412447331</v>
      </c>
      <c r="U106" s="115">
        <f t="shared" si="41"/>
        <v>-0.81214089323720096</v>
      </c>
      <c r="V106" s="115">
        <f t="shared" si="41"/>
        <v>-0.60481100508952279</v>
      </c>
      <c r="W106" s="115">
        <f t="shared" si="41"/>
        <v>-0.43787829440172787</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74.36767578125</v>
      </c>
      <c r="D113" s="34">
        <v>72.4759521484375</v>
      </c>
      <c r="E113" s="34">
        <v>69.219566345214844</v>
      </c>
      <c r="F113" s="34">
        <v>68.073471069335938</v>
      </c>
      <c r="G113" s="34">
        <v>66.450393676757813</v>
      </c>
      <c r="H113" s="34">
        <v>65.072891235351563</v>
      </c>
      <c r="I113" s="34">
        <v>63.524909973144531</v>
      </c>
      <c r="J113" s="34">
        <v>61.733310699462891</v>
      </c>
      <c r="K113" s="34">
        <v>59.903675079345703</v>
      </c>
      <c r="L113" s="34">
        <v>58.295635223388672</v>
      </c>
      <c r="M113" s="34">
        <v>56.903453826904297</v>
      </c>
      <c r="N113" s="34">
        <v>55.842933654785156</v>
      </c>
      <c r="O113" s="34">
        <v>55.059062957763672</v>
      </c>
      <c r="P113" s="34">
        <v>54.538066864013672</v>
      </c>
      <c r="Q113" s="34">
        <v>54.319999694824219</v>
      </c>
      <c r="R113" s="34">
        <v>54.371383666992188</v>
      </c>
      <c r="S113" s="34">
        <v>54.632274627685547</v>
      </c>
      <c r="T113" s="34">
        <v>55.169269561767578</v>
      </c>
      <c r="U113" s="34">
        <v>56.009490966796875</v>
      </c>
      <c r="V113" s="34">
        <v>57.100753784179688</v>
      </c>
      <c r="W113" s="34">
        <v>58.421955108642578</v>
      </c>
      <c r="X113" s="116"/>
      <c r="Y113" s="62"/>
    </row>
    <row r="114" spans="1:51" x14ac:dyDescent="0.2">
      <c r="B114" s="26" t="s">
        <v>132</v>
      </c>
      <c r="C114" s="1">
        <v>1.7379093170166016</v>
      </c>
      <c r="D114" s="1">
        <v>1.644842267036438</v>
      </c>
      <c r="E114" s="1">
        <v>1.899216890335083</v>
      </c>
      <c r="F114" s="1">
        <v>2.1593606472015381</v>
      </c>
      <c r="G114" s="1">
        <v>2.1774470806121826</v>
      </c>
      <c r="H114" s="1">
        <v>2.2733170986175537</v>
      </c>
      <c r="I114" s="1">
        <v>2.3607478141784668</v>
      </c>
      <c r="J114" s="1">
        <v>2.4431421756744385</v>
      </c>
      <c r="K114" s="1">
        <v>2.5198273658752441</v>
      </c>
      <c r="L114" s="1">
        <v>2.5973691940307617</v>
      </c>
      <c r="M114" s="1">
        <v>2.6755492687225342</v>
      </c>
      <c r="N114" s="1">
        <v>2.7541143894195557</v>
      </c>
      <c r="O114" s="1">
        <v>2.8337063789367676</v>
      </c>
      <c r="P114" s="1">
        <v>2.9108812808990479</v>
      </c>
      <c r="Q114" s="1">
        <v>2.9844546318054199</v>
      </c>
      <c r="R114" s="1">
        <v>3.0549664497375488</v>
      </c>
      <c r="S114" s="1">
        <v>3.1219606399536133</v>
      </c>
      <c r="T114" s="1">
        <v>3.1851668357849121</v>
      </c>
      <c r="U114" s="1">
        <v>3.2450587749481201</v>
      </c>
      <c r="V114" s="1">
        <v>3.3017797470092773</v>
      </c>
      <c r="W114" s="1">
        <v>3.3548176288604736</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74.36767578125</v>
      </c>
      <c r="D118" s="34">
        <v>72.4759521484375</v>
      </c>
      <c r="E118" s="34">
        <v>69.219566345214844</v>
      </c>
      <c r="F118" s="34">
        <v>68.073471069335938</v>
      </c>
      <c r="G118" s="34">
        <v>66.48193359375</v>
      </c>
      <c r="H118" s="34">
        <v>65.303741455078125</v>
      </c>
      <c r="I118" s="34">
        <v>64.125503540039063</v>
      </c>
      <c r="J118" s="34">
        <v>62.873928070068359</v>
      </c>
      <c r="K118" s="34">
        <v>61.488330841064453</v>
      </c>
      <c r="L118" s="34">
        <v>59.970359802246094</v>
      </c>
      <c r="M118" s="34">
        <v>58.323776245117188</v>
      </c>
      <c r="N118" s="34">
        <v>56.742954254150391</v>
      </c>
      <c r="O118" s="34">
        <v>55.381694793701172</v>
      </c>
      <c r="P118" s="34">
        <v>54.226139068603516</v>
      </c>
      <c r="Q118" s="34">
        <v>53.45843505859375</v>
      </c>
      <c r="R118" s="34">
        <v>52.963912963867188</v>
      </c>
      <c r="S118" s="34">
        <v>52.681789398193359</v>
      </c>
      <c r="T118" s="34">
        <v>52.676807403564453</v>
      </c>
      <c r="U118" s="34">
        <v>52.974353790283203</v>
      </c>
      <c r="V118" s="34">
        <v>53.520107269287109</v>
      </c>
      <c r="W118" s="34">
        <v>54.292514801025391</v>
      </c>
      <c r="X118" s="116"/>
      <c r="Y118" s="62"/>
    </row>
    <row r="119" spans="1:51" x14ac:dyDescent="0.2">
      <c r="B119" s="26" t="s">
        <v>132</v>
      </c>
      <c r="C119" s="1">
        <v>1.7379093170166016</v>
      </c>
      <c r="D119" s="1">
        <v>1.644842267036438</v>
      </c>
      <c r="E119" s="1">
        <v>1.899216890335083</v>
      </c>
      <c r="F119" s="1">
        <v>2.1593606472015381</v>
      </c>
      <c r="G119" s="1">
        <v>2.1774470806121826</v>
      </c>
      <c r="H119" s="1">
        <v>2.2751572132110596</v>
      </c>
      <c r="I119" s="1">
        <v>2.3663482666015625</v>
      </c>
      <c r="J119" s="1">
        <v>2.4544417858123779</v>
      </c>
      <c r="K119" s="1">
        <v>2.5387897491455078</v>
      </c>
      <c r="L119" s="1">
        <v>2.6191058158874512</v>
      </c>
      <c r="M119" s="1">
        <v>2.6953029632568359</v>
      </c>
      <c r="N119" s="1">
        <v>2.7673943042755127</v>
      </c>
      <c r="O119" s="1">
        <v>2.8399591445922852</v>
      </c>
      <c r="P119" s="1">
        <v>2.9099888801574707</v>
      </c>
      <c r="Q119" s="1">
        <v>2.9765424728393555</v>
      </c>
      <c r="R119" s="1">
        <v>3.0411791801452637</v>
      </c>
      <c r="S119" s="1">
        <v>3.1034297943115234</v>
      </c>
      <c r="T119" s="1">
        <v>3.1629579067230225</v>
      </c>
      <c r="U119" s="1">
        <v>3.2202005386352539</v>
      </c>
      <c r="V119" s="1">
        <v>3.2752389907836914</v>
      </c>
      <c r="W119" s="1">
        <v>3.3273959159851074</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SI</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-4.6923700000000004</v>
      </c>
      <c r="D12" s="2">
        <f>'Input data'!D13</f>
        <v>-3.2634059999999998</v>
      </c>
      <c r="E12" s="2">
        <f>'Input data'!E13</f>
        <v>-1.555059</v>
      </c>
      <c r="F12" s="2">
        <f>'Input data'!F13</f>
        <v>-1.244675</v>
      </c>
      <c r="G12" s="3">
        <f>'Adjust. no safeguard'!G12</f>
        <v>-0.80467500000000003</v>
      </c>
      <c r="H12" s="3">
        <f>'Adjust. no safeguard'!H12</f>
        <v>-0.36467500000000003</v>
      </c>
      <c r="I12" s="3">
        <f>'Adjust. no safeguard'!I12</f>
        <v>7.5324999999999975E-2</v>
      </c>
      <c r="J12" s="3">
        <f>'Adjust. no safeguard'!J12</f>
        <v>0.51532500000000003</v>
      </c>
      <c r="K12" s="119">
        <f>'Adjust. no safeguard'!K12</f>
        <v>0.51532500000000003</v>
      </c>
      <c r="L12" s="119">
        <f>'Adjust. no safeguard'!L12</f>
        <v>0.51532500000000003</v>
      </c>
      <c r="M12" s="119">
        <f>'Adjust. no safeguard'!M12</f>
        <v>0.51532500000000003</v>
      </c>
      <c r="N12" s="119">
        <f>IF(N10&lt;=$C$6,M12+'Criteria results'!$F$6,M12)</f>
        <v>0.51532500000000003</v>
      </c>
      <c r="O12" s="119">
        <f>IF(O10&lt;=$C$6,N12+'Criteria results'!$F$6,N12)</f>
        <v>0.51532500000000003</v>
      </c>
      <c r="P12" s="119">
        <f>IF(P10&lt;=$C$6,O12+'Criteria results'!$F$6,O12)</f>
        <v>0.51532500000000003</v>
      </c>
      <c r="Q12" s="119">
        <f>IF(Q10&lt;=$C$6,P12+'Criteria results'!$F$6,P12)</f>
        <v>0.51532500000000003</v>
      </c>
      <c r="R12" s="119">
        <f>IF(R10&lt;=$C$6,Q12+'Criteria results'!$F$6,Q12)</f>
        <v>0.51532500000000003</v>
      </c>
      <c r="S12" s="119">
        <f>IF(S10&lt;=$C$6,R12+'Criteria results'!$F$6,R12)</f>
        <v>0.51532500000000003</v>
      </c>
      <c r="T12" s="119">
        <f>IF(T10&lt;=$C$6,S12+'Criteria results'!$F$6,S12)</f>
        <v>0.51532500000000003</v>
      </c>
      <c r="U12" s="119">
        <f>IF(U10&lt;=$C$6,T12+'Criteria results'!$F$6,T12)</f>
        <v>0.51532500000000003</v>
      </c>
      <c r="V12" s="119">
        <f>IF(V10&lt;=$C$6,U12+'Criteria results'!$F$6,U12)</f>
        <v>0.51532500000000003</v>
      </c>
      <c r="W12" s="119">
        <f>IF(W10&lt;=$C$6,V12+'Criteria results'!$F$6,V12)</f>
        <v>0.51532500000000003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2">
        <f>'Input data'!D14</f>
        <v>0</v>
      </c>
      <c r="E13" s="2">
        <f>'Input data'!E14</f>
        <v>-0.40577220000000003</v>
      </c>
      <c r="F13" s="2">
        <f>'Input data'!F14</f>
        <v>-0.65215420000000002</v>
      </c>
      <c r="G13" s="2">
        <f>'Input data'!G14</f>
        <v>-0.47665220000000003</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-1.7974220000000001</v>
      </c>
      <c r="D14" s="2">
        <f>'Input data'!D15</f>
        <v>1.3303780000000001</v>
      </c>
      <c r="E14" s="2">
        <f>'Input data'!E15</f>
        <v>1.2366839999999999</v>
      </c>
      <c r="F14" s="2">
        <f>'Input data'!F15</f>
        <v>-0.20000760000000001</v>
      </c>
      <c r="G14" s="2">
        <f>'Input data'!G15</f>
        <v>-0.2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22.025169999999999</v>
      </c>
      <c r="E17" s="101">
        <f>'Input data'!E20</f>
        <v>22.097189999999998</v>
      </c>
      <c r="F17" s="101">
        <f>'Input data'!F20</f>
        <v>22.199599999999997</v>
      </c>
      <c r="G17" s="101">
        <f>'Input data'!G20</f>
        <v>22.362199999999998</v>
      </c>
      <c r="H17" s="101">
        <f>'Input data'!H20</f>
        <v>22.526659999999996</v>
      </c>
      <c r="I17" s="101">
        <f>'Input data'!I20</f>
        <v>22.697230000000001</v>
      </c>
      <c r="J17" s="101">
        <f>'Input data'!J20</f>
        <v>22.903919999999999</v>
      </c>
      <c r="K17" s="101">
        <f>'Input data'!K20</f>
        <v>23.074540000000002</v>
      </c>
      <c r="L17" s="101">
        <f>'Input data'!L20</f>
        <v>23.2395</v>
      </c>
      <c r="M17" s="101">
        <f>'Input data'!M20</f>
        <v>23.397020000000001</v>
      </c>
      <c r="N17" s="101">
        <f>'Input data'!N20</f>
        <v>23.54317</v>
      </c>
      <c r="O17" s="101">
        <f>'Input data'!O20</f>
        <v>23.73443</v>
      </c>
      <c r="P17" s="101">
        <f>'Input data'!P20</f>
        <v>23.866290000000003</v>
      </c>
      <c r="Q17" s="101">
        <f>'Input data'!Q20</f>
        <v>24.047149999999998</v>
      </c>
      <c r="R17" s="101">
        <f>'Input data'!R20</f>
        <v>24.20204</v>
      </c>
      <c r="S17" s="101">
        <f>'Input data'!S20</f>
        <v>24.33447</v>
      </c>
      <c r="T17" s="101">
        <f>'Input data'!T20</f>
        <v>24.513950000000001</v>
      </c>
      <c r="U17" s="101">
        <f>'Input data'!U20</f>
        <v>24.71762</v>
      </c>
      <c r="V17" s="101">
        <f>'Input data'!V20</f>
        <v>24.860289999999999</v>
      </c>
      <c r="W17" s="101">
        <f>'Input data'!W20</f>
        <v>25.002420000000001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0.60368690000000003</v>
      </c>
      <c r="D18" s="101">
        <f>'Input data'!D26</f>
        <v>0.70882940000000005</v>
      </c>
      <c r="E18" s="101">
        <f>'Input data'!E26</f>
        <v>0.70974680000000001</v>
      </c>
      <c r="F18" s="101">
        <f>'Input data'!F26</f>
        <v>0.71066430000000003</v>
      </c>
      <c r="G18" s="101">
        <f>'Input data'!G26</f>
        <v>0.71158169999999998</v>
      </c>
      <c r="H18" s="101">
        <f>'Input data'!H26</f>
        <v>0.71249910000000005</v>
      </c>
      <c r="I18" s="101">
        <f>'Input data'!I26</f>
        <v>0.71341659999999996</v>
      </c>
      <c r="J18" s="101">
        <f>'Input data'!J26</f>
        <v>0.71433409999999997</v>
      </c>
      <c r="K18" s="101">
        <f>'Input data'!K26</f>
        <v>0.71525159999999999</v>
      </c>
      <c r="L18" s="101">
        <f>'Input data'!L26</f>
        <v>0.71616900000000006</v>
      </c>
      <c r="M18" s="101">
        <f>'Input data'!M26</f>
        <v>0.71708649999999996</v>
      </c>
      <c r="N18" s="101">
        <f>'Input data'!N26</f>
        <v>0.71800399999999998</v>
      </c>
      <c r="O18" s="101">
        <f>'Input data'!O26</f>
        <v>0.71892140000000004</v>
      </c>
      <c r="P18" s="101">
        <f>'Input data'!P26</f>
        <v>0.71983889999999995</v>
      </c>
      <c r="Q18" s="101">
        <f>'Input data'!Q26</f>
        <v>0.72075639999999996</v>
      </c>
      <c r="R18" s="101">
        <f>'Input data'!R26</f>
        <v>0.72167380000000003</v>
      </c>
      <c r="S18" s="101">
        <f>'Input data'!S26</f>
        <v>0.72259130000000005</v>
      </c>
      <c r="T18" s="101">
        <f>'Input data'!T26</f>
        <v>0.7235087</v>
      </c>
      <c r="U18" s="101">
        <f>'Input data'!U26</f>
        <v>0.72442620000000002</v>
      </c>
      <c r="V18" s="101">
        <f>'Input data'!V26</f>
        <v>0.72534370000000004</v>
      </c>
      <c r="W18" s="101">
        <f>'Input data'!W26</f>
        <v>0.72626109999999999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47.094990000000003</v>
      </c>
      <c r="D22" s="100">
        <f>'Baseline NFPC'!D22</f>
        <v>48.253899746320805</v>
      </c>
      <c r="E22" s="100">
        <f>'Baseline NFPC'!E22</f>
        <v>49.019639433778181</v>
      </c>
      <c r="F22" s="100">
        <f>'Baseline NFPC'!F22</f>
        <v>50.16839360546382</v>
      </c>
      <c r="G22" s="34">
        <f>IF(AND(G49&gt;1,F49&gt;1),IF(AND(G49&gt;0,F49&gt;0),G26*(G50/100+1),0)+IF(G49&gt;0,F22*(1+G51/100),0)-F22*(1+'Input data'!G30/100),IF(G49=1,G26,F22*(1+G51/100)))</f>
        <v>51.515407448511489</v>
      </c>
      <c r="H22" s="34">
        <f>IF(AND(H49&gt;1,G49&gt;1),IF(AND(H49&gt;0,G49&gt;0),H26*(H50/100+1),0)+IF(H49&gt;0,G22*(1+H51/100),0)-G22*(1+'Input data'!H30/100),IF(H49=1,H26,G22*(1+H51/100)))</f>
        <v>52.471552047126728</v>
      </c>
      <c r="I22" s="34">
        <f>IF(AND(I49&gt;1,H49&gt;1),IF(AND(I49&gt;0,H49&gt;0),I26*(I50/100+1),0)+IF(I49&gt;0,H22*(1+I51/100),0)-H22*(1+'Input data'!I30/100),IF(I49=1,I26,H22*(1+I51/100)))</f>
        <v>53.482353824798402</v>
      </c>
      <c r="J22" s="34">
        <f>IF(AND(J49&gt;1,I49&gt;1),IF(AND(J49&gt;0,I49&gt;0),J26*(J50/100+1),0)+IF(J49&gt;0,I22*(1+J51/100),0)-I22*(1+'Input data'!J30/100),IF(J49=1,J26,I22*(1+J51/100)))</f>
        <v>54.556488884333646</v>
      </c>
      <c r="K22" s="34">
        <f>IF(AND(K49&gt;1,J49&gt;1),IF(AND(K49&gt;0,J49&gt;0),K26*(K50/100+1),0)+IF(K49&gt;0,J22*(1+K51/100),0)-J22*(1+'Input data'!K30/100),IF(K49=1,K26,J22*(1+K51/100)))</f>
        <v>55.892502814294431</v>
      </c>
      <c r="L22" s="34">
        <f>IF(AND(L49&gt;1,K49&gt;1),IF(AND(L49&gt;0,K49&gt;0),L26*(L50/100+1),0)+IF(L49&gt;0,K22*(1+L51/100),0)-K22*(1+'Input data'!L30/100),IF(L49=1,L26,K22*(1+L51/100)))</f>
        <v>57.259933656738397</v>
      </c>
      <c r="M22" s="34">
        <f>IF(AND(M49&gt;1,L49&gt;1),IF(AND(M49&gt;0,L49&gt;0),M26*(M50/100+1),0)+IF(M49&gt;0,L22*(1+M51/100),0)-L22*(1+'Input data'!M30/100),IF(M49=1,M26,L22*(1+M51/100)))</f>
        <v>58.648082640624835</v>
      </c>
      <c r="N22" s="34">
        <f>IF(AND(N49&gt;1,M49&gt;1),IF(AND(N49&gt;0,M49&gt;0),N26*(N50/100+1),0)+IF(N49&gt;0,M22*(1+N51/100),0)-M22*(1+'Input data'!N30/100),IF(N49=1,N26,M22*(1+N51/100)))</f>
        <v>59.97998763516334</v>
      </c>
      <c r="O22" s="34">
        <f>IF(AND(O49&gt;1,N49&gt;1),IF(AND(O49&gt;0,N49&gt;0),O26*(O50/100+1),0)+IF(O49&gt;0,N22*(1+O51/100),0)-N22*(1+'Input data'!O30/100),IF(O49=1,O26,N22*(1+O51/100)))</f>
        <v>61.348266108093597</v>
      </c>
      <c r="P22" s="34">
        <f>IF(AND(P49&gt;1,O49&gt;1),IF(AND(P49&gt;0,O49&gt;0),P26*(P50/100+1),0)+IF(P49&gt;0,O22*(1+P51/100),0)-O22*(1+'Input data'!P30/100),IF(P49=1,P26,O22*(1+P51/100)))</f>
        <v>62.676345028972172</v>
      </c>
      <c r="Q22" s="34">
        <f>IF(AND(Q49&gt;1,P49&gt;1),IF(AND(Q49&gt;0,P49&gt;0),Q26*(Q50/100+1),0)+IF(Q49&gt;0,P22*(1+Q51/100),0)-P22*(1+'Input data'!Q30/100),IF(Q49=1,Q26,P22*(1+Q51/100)))</f>
        <v>63.960215428470491</v>
      </c>
      <c r="R22" s="34">
        <f>IF(AND(R49&gt;1,Q49&gt;1),IF(AND(R49&gt;0,Q49&gt;0),R26*(R50/100+1),0)+IF(R49&gt;0,Q22*(1+R51/100),0)-Q22*(1+'Input data'!R30/100),IF(R49=1,R26,Q22*(1+R51/100)))</f>
        <v>65.195929348957151</v>
      </c>
      <c r="S22" s="34">
        <f>IF(AND(S49&gt;1,R49&gt;1),IF(AND(S49&gt;0,R49&gt;0),S26*(S50/100+1),0)+IF(S49&gt;0,R22*(1+S51/100),0)-R22*(1+'Input data'!S30/100),IF(S49=1,S26,R22*(1+S51/100)))</f>
        <v>66.419157542018269</v>
      </c>
      <c r="T22" s="34">
        <f>IF(AND(T49&gt;1,S49&gt;1),IF(AND(T49&gt;0,S49&gt;0),T26*(T50/100+1),0)+IF(T49&gt;0,S22*(1+T51/100),0)-S22*(1+'Input data'!T30/100),IF(T49=1,T26,S22*(1+T51/100)))</f>
        <v>67.598967015161321</v>
      </c>
      <c r="U22" s="34">
        <f>IF(AND(U49&gt;1,T49&gt;1),IF(AND(U49&gt;0,T49&gt;0),U26*(U50/100+1),0)+IF(U49&gt;0,T22*(1+U51/100),0)-T22*(1+'Input data'!U30/100),IF(U49=1,U26,T22*(1+U51/100)))</f>
        <v>68.72495895279485</v>
      </c>
      <c r="V22" s="34">
        <f>IF(AND(V49&gt;1,U49&gt;1),IF(AND(V49&gt;0,U49&gt;0),V26*(V50/100+1),0)+IF(V49&gt;0,U22*(1+V51/100),0)-U22*(1+'Input data'!V30/100),IF(V49=1,V26,U22*(1+V51/100)))</f>
        <v>69.781012100298312</v>
      </c>
      <c r="W22" s="34">
        <f>IF(AND(W49&gt;1,V49&gt;1),IF(AND(W49&gt;0,V49&gt;0),W26*(W50/100+1),0)+IF(W49&gt;0,V22*(1+W51/100),0)-V22*(1+'Input data'!W30/100),IF(W49=1,W26,V22*(1+W51/100)))</f>
        <v>70.789831307561471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8.228491</v>
      </c>
      <c r="D23" s="100">
        <f>'Baseline NFPC'!D23</f>
        <v>2.4607920000000001</v>
      </c>
      <c r="E23" s="100">
        <f>'Baseline NFPC'!E23</f>
        <v>1.586897</v>
      </c>
      <c r="F23" s="100">
        <f>'Baseline NFPC'!F23</f>
        <v>2.3434569999999999</v>
      </c>
      <c r="G23" s="34">
        <f t="shared" ref="G23:T23" si="0">100*(G22/F22-1)</f>
        <v>2.6849850000000064</v>
      </c>
      <c r="H23" s="34">
        <f t="shared" si="0"/>
        <v>1.8560361763048983</v>
      </c>
      <c r="I23" s="34">
        <f t="shared" si="0"/>
        <v>1.9263805590576721</v>
      </c>
      <c r="J23" s="34">
        <f t="shared" si="0"/>
        <v>2.0083915211622561</v>
      </c>
      <c r="K23" s="34">
        <f t="shared" si="0"/>
        <v>2.4488634757879879</v>
      </c>
      <c r="L23" s="34">
        <f t="shared" si="0"/>
        <v>2.4465371446816819</v>
      </c>
      <c r="M23" s="34">
        <f t="shared" si="0"/>
        <v>2.4242937342682014</v>
      </c>
      <c r="N23" s="34">
        <f t="shared" si="0"/>
        <v>2.2710119999999945</v>
      </c>
      <c r="O23" s="34">
        <f t="shared" si="0"/>
        <v>2.2812250000000089</v>
      </c>
      <c r="P23" s="34">
        <f t="shared" si="0"/>
        <v>2.1648190000000067</v>
      </c>
      <c r="Q23" s="34">
        <f t="shared" si="0"/>
        <v>2.0484130000000045</v>
      </c>
      <c r="R23" s="34">
        <f t="shared" si="0"/>
        <v>1.9320039999999983</v>
      </c>
      <c r="S23" s="34">
        <f t="shared" si="0"/>
        <v>1.8762340000000099</v>
      </c>
      <c r="T23" s="34">
        <f t="shared" si="0"/>
        <v>1.7763090000000092</v>
      </c>
      <c r="U23" s="34">
        <f t="shared" ref="U23" si="1">100*(U22/T22-1)</f>
        <v>1.6656940000000064</v>
      </c>
      <c r="V23" s="34">
        <f t="shared" ref="V23" si="2">100*(V22/U22-1)</f>
        <v>1.5366369999999963</v>
      </c>
      <c r="W23" s="34">
        <f t="shared" ref="W23" si="3">100*(W22/V22-1)</f>
        <v>1.4456929999999923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45.770859999999999</v>
      </c>
      <c r="D26" s="100">
        <f>+C26*(1+'Input data'!D33/100)</f>
        <v>46.850570786552801</v>
      </c>
      <c r="E26" s="100">
        <f>+D26*(1+'Input data'!E33/100)</f>
        <v>48.25044991246093</v>
      </c>
      <c r="F26" s="100">
        <f>+E26*(1+'Input data'!F33/100)</f>
        <v>49.629799034234424</v>
      </c>
      <c r="G26" s="34">
        <f>+F26*(1+'Input data'!G33/100)</f>
        <v>51.057412114605945</v>
      </c>
      <c r="H26" s="34">
        <f>+G26*(1+'Input data'!H33/100)</f>
        <v>52.328620670192919</v>
      </c>
      <c r="I26" s="34">
        <f>+H26*(1+'Input data'!I33/100)</f>
        <v>53.55798375831845</v>
      </c>
      <c r="J26" s="34">
        <f>+I26*(1+'Input data'!J33/100)</f>
        <v>54.784555312855517</v>
      </c>
      <c r="K26" s="34">
        <f>+J26*(1+'Input data'!K33/100)</f>
        <v>56.04805370341812</v>
      </c>
      <c r="L26" s="34">
        <f>+K26*(1+'Input data'!L33/100)</f>
        <v>57.339501186760998</v>
      </c>
      <c r="M26" s="34">
        <f>+L26*(1+'Input data'!M33/100)</f>
        <v>58.648082640624835</v>
      </c>
      <c r="N26" s="34">
        <f>+M26*(1+'Input data'!N33/100)</f>
        <v>59.979985875720857</v>
      </c>
      <c r="O26" s="34">
        <f>+N26*(1+'Input data'!O33/100)</f>
        <v>61.348264308514274</v>
      </c>
      <c r="P26" s="34">
        <f>+O26*(1+'Input data'!P33/100)</f>
        <v>62.676343190435212</v>
      </c>
      <c r="Q26" s="34">
        <f>+P26*(1+'Input data'!Q33/100)</f>
        <v>63.960214179036136</v>
      </c>
      <c r="R26" s="34">
        <f>+Q26*(1+'Input data'!R33/100)</f>
        <v>65.195930633792244</v>
      </c>
      <c r="S26" s="34">
        <f>+R26*(1+'Input data'!S33/100)</f>
        <v>66.419158850959874</v>
      </c>
      <c r="T26" s="34">
        <f>+S26*(1+'Input data'!T33/100)</f>
        <v>67.598969675736953</v>
      </c>
      <c r="U26" s="34">
        <f>+T26*(1+'Input data'!U33/100)</f>
        <v>68.724963009666908</v>
      </c>
      <c r="V26" s="34">
        <f>+U26*(1+'Input data'!V33/100)</f>
        <v>69.781012783261616</v>
      </c>
      <c r="W26" s="34">
        <f>+V26*(1+'Input data'!W33/100)</f>
        <v>70.789835489448976</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2.8929541634131528</v>
      </c>
      <c r="D29" s="100">
        <f t="shared" ref="D29:T29" si="4">100*(D22/D26-1)</f>
        <v>2.9953294830951993</v>
      </c>
      <c r="E29" s="100">
        <f t="shared" si="4"/>
        <v>1.5941603087904044</v>
      </c>
      <c r="F29" s="100">
        <f t="shared" si="4"/>
        <v>1.0852241631239989</v>
      </c>
      <c r="G29" s="34">
        <f t="shared" si="4"/>
        <v>0.89702026588716066</v>
      </c>
      <c r="H29" s="34">
        <f t="shared" si="4"/>
        <v>0.27314187743385787</v>
      </c>
      <c r="I29" s="34">
        <f t="shared" si="4"/>
        <v>-0.14121131568606282</v>
      </c>
      <c r="J29" s="34">
        <f t="shared" si="4"/>
        <v>-0.41629694212075297</v>
      </c>
      <c r="K29" s="34">
        <f t="shared" si="4"/>
        <v>-0.27753129474717975</v>
      </c>
      <c r="L29" s="34">
        <f t="shared" si="4"/>
        <v>-0.13876564737359542</v>
      </c>
      <c r="M29" s="34">
        <f t="shared" si="4"/>
        <v>0</v>
      </c>
      <c r="N29" s="34">
        <f t="shared" si="4"/>
        <v>2.9333826256916495E-6</v>
      </c>
      <c r="O29" s="34">
        <f t="shared" si="4"/>
        <v>2.9333826256916495E-6</v>
      </c>
      <c r="P29" s="34">
        <f t="shared" si="4"/>
        <v>2.9333826256916495E-6</v>
      </c>
      <c r="Q29" s="34">
        <f t="shared" si="4"/>
        <v>1.9534555528721853E-6</v>
      </c>
      <c r="R29" s="34">
        <f t="shared" si="4"/>
        <v>-1.9707289689030461E-6</v>
      </c>
      <c r="S29" s="34">
        <f t="shared" si="4"/>
        <v>-1.9707289689030461E-6</v>
      </c>
      <c r="T29" s="34">
        <f t="shared" si="4"/>
        <v>-3.9358227565955417E-6</v>
      </c>
      <c r="U29" s="34">
        <f t="shared" ref="U29:W29" si="5">100*(U22/U26-1)</f>
        <v>-5.9030545562777093E-6</v>
      </c>
      <c r="V29" s="34">
        <f t="shared" si="5"/>
        <v>-9.7872369098084278E-7</v>
      </c>
      <c r="W29" s="34">
        <f t="shared" si="5"/>
        <v>-5.9074688807392306E-6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11.125195175352598</v>
      </c>
      <c r="D32" s="2">
        <f t="shared" si="6"/>
        <v>9.1030095661206456</v>
      </c>
      <c r="E32" s="2">
        <f t="shared" si="6"/>
        <v>10.610319602348994</v>
      </c>
      <c r="F32" s="2">
        <f t="shared" si="6"/>
        <v>5.7258795976820487</v>
      </c>
      <c r="G32" s="1">
        <f t="shared" si="6"/>
        <v>5.7256835341713552</v>
      </c>
      <c r="H32" s="1">
        <f t="shared" si="6"/>
        <v>4.8198350958001734</v>
      </c>
      <c r="I32" s="1">
        <f t="shared" si="6"/>
        <v>4.8398373409270778</v>
      </c>
      <c r="J32" s="1">
        <f t="shared" si="6"/>
        <v>4.8717613331892728</v>
      </c>
      <c r="K32" s="1">
        <f t="shared" si="6"/>
        <v>5.2719397475279317</v>
      </c>
      <c r="L32" s="1">
        <f t="shared" si="6"/>
        <v>5.2168929445775447</v>
      </c>
      <c r="M32" s="1">
        <f t="shared" si="6"/>
        <v>5.141403093904251</v>
      </c>
      <c r="N32" s="1">
        <f t="shared" si="6"/>
        <v>4.9314889556191011</v>
      </c>
      <c r="O32" s="1">
        <f t="shared" si="6"/>
        <v>4.8893962375000211</v>
      </c>
      <c r="P32" s="1">
        <f t="shared" si="6"/>
        <v>4.7419265592750115</v>
      </c>
      <c r="Q32" s="1">
        <f t="shared" si="6"/>
        <v>4.5945209043499968</v>
      </c>
      <c r="R32" s="1">
        <f t="shared" si="6"/>
        <v>4.4471761987000091</v>
      </c>
      <c r="S32" s="1">
        <f t="shared" si="6"/>
        <v>4.3620141095999987</v>
      </c>
      <c r="T32" s="1">
        <f t="shared" si="6"/>
        <v>4.231662454625007</v>
      </c>
      <c r="U32" s="1">
        <f t="shared" si="6"/>
        <v>4.0904208019000077</v>
      </c>
      <c r="V32" s="1">
        <f t="shared" si="6"/>
        <v>3.9303632172749792</v>
      </c>
      <c r="W32" s="1">
        <f t="shared" si="6"/>
        <v>3.8093776468999918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1.7379089999999999</v>
      </c>
      <c r="D35" s="100">
        <f>'Input data'!D37</f>
        <v>1.6448419999999999</v>
      </c>
      <c r="E35" s="100">
        <f>'Input data'!E37</f>
        <v>1.8992169999999999</v>
      </c>
      <c r="F35" s="100">
        <f>'Input data'!F37</f>
        <v>2.1593610000000001</v>
      </c>
      <c r="G35" s="100">
        <f>'Input data'!G37</f>
        <v>2.1774469999999999</v>
      </c>
      <c r="H35" s="34">
        <f>H92</f>
        <v>2.2733169841339604</v>
      </c>
      <c r="I35" s="34">
        <f t="shared" ref="I35:W35" si="7">I92</f>
        <v>2.3607475558071473</v>
      </c>
      <c r="J35" s="34">
        <f t="shared" si="7"/>
        <v>2.4431415909904963</v>
      </c>
      <c r="K35" s="34">
        <f>K92</f>
        <v>2.6168595773668457</v>
      </c>
      <c r="L35" s="34">
        <f t="shared" si="7"/>
        <v>2.666396204665487</v>
      </c>
      <c r="M35" s="34">
        <f t="shared" si="7"/>
        <v>2.7394782937024562</v>
      </c>
      <c r="N35" s="34">
        <f t="shared" si="7"/>
        <v>2.8131193999433441</v>
      </c>
      <c r="O35" s="34">
        <f t="shared" si="7"/>
        <v>2.8879195251217631</v>
      </c>
      <c r="P35" s="34">
        <f t="shared" si="7"/>
        <v>2.9603983256501789</v>
      </c>
      <c r="Q35" s="34">
        <f t="shared" si="7"/>
        <v>3.0295036407685942</v>
      </c>
      <c r="R35" s="34">
        <f t="shared" si="7"/>
        <v>3.0957501692619491</v>
      </c>
      <c r="S35" s="34">
        <f t="shared" si="7"/>
        <v>3.1587238527644321</v>
      </c>
      <c r="T35" s="34">
        <f t="shared" si="7"/>
        <v>3.2181810724681013</v>
      </c>
      <c r="U35" s="34">
        <f t="shared" si="7"/>
        <v>3.2745724117132853</v>
      </c>
      <c r="V35" s="34">
        <f t="shared" si="7"/>
        <v>3.3280380023729665</v>
      </c>
      <c r="W35" s="34">
        <f t="shared" si="7"/>
        <v>3.3781019189789858</v>
      </c>
    </row>
    <row r="36" spans="2:51" x14ac:dyDescent="0.2">
      <c r="B36" s="32" t="s">
        <v>94</v>
      </c>
      <c r="C36" s="1"/>
      <c r="D36" s="2">
        <f>'Input data'!D$39</f>
        <v>1.89</v>
      </c>
      <c r="E36" s="2">
        <f>'Input data'!E$39</f>
        <v>3.4</v>
      </c>
      <c r="F36" s="166">
        <f>'Input data'!F$39</f>
        <v>3.2130990000000001</v>
      </c>
      <c r="G36" s="166">
        <f>'Input data'!G$39</f>
        <v>3.2666849999999998</v>
      </c>
      <c r="H36" s="1">
        <f>G36+($O$36-$G$36)/($O$10-$G$10)</f>
        <v>3.3183456250000001</v>
      </c>
      <c r="I36" s="1">
        <f t="shared" ref="I36:J36" si="8">H36+($O$36-$G$36)/($O$10-$G$10)</f>
        <v>3.3700062500000003</v>
      </c>
      <c r="J36" s="1">
        <f t="shared" si="8"/>
        <v>3.4216668750000006</v>
      </c>
      <c r="K36" s="1">
        <f>IF('Criteria results'!$F$5=4,IF(J56&gt;90,G36+('Input data'!$C$52-$G$36)/($O$10-$G$10)*(K10-$G$10)+1+0.06*(J56-90),G36+('Input data'!$C$52-$G$36)/($O$10-$G$10)*(K10-$G$10)+1),G36+('Input data'!$C$52-$G$36)/($O$10-$G$10)*(K10-$G$10))</f>
        <v>4.4733274999999999</v>
      </c>
      <c r="L36" s="1">
        <f>$G$36+('Input data'!$C$52-$G$36)/($O$10-$G$10)*(L10-$G$10)</f>
        <v>3.5249881250000001</v>
      </c>
      <c r="M36" s="1">
        <f>$G$36+('Input data'!$C$52-$G$36)/($O$10-$G$10)*(M10-$G$10)</f>
        <v>3.5766487499999999</v>
      </c>
      <c r="N36" s="1">
        <f>IF('Criteria results'!$F$5=7,IF(M56&gt;90,G36+('Input data'!$C$52-$G$36)/($O$10-$G$10)*(N10-$G$10)+1+0.06*(M56-90),G36+('Input data'!$C$52-$G$36)/($O$10-$G$10)*(N10-$G$10)+1),G36+('Input data'!$C$52-$G$36)/($O$10-$G$10)*(N10-$G$10))</f>
        <v>3.6283093749999997</v>
      </c>
      <c r="O36" s="252">
        <f>'Baseline NFPC'!O36</f>
        <v>3.67997</v>
      </c>
      <c r="P36" s="1">
        <f>'Baseline NFPC'!P36</f>
        <v>3.6959714999999997</v>
      </c>
      <c r="Q36" s="1">
        <f>'Baseline NFPC'!Q36</f>
        <v>3.711973</v>
      </c>
      <c r="R36" s="1">
        <f>'Baseline NFPC'!R36</f>
        <v>3.7279745000000002</v>
      </c>
      <c r="S36" s="1">
        <f>'Baseline NFPC'!S36</f>
        <v>3.743976</v>
      </c>
      <c r="T36" s="1">
        <f>'Baseline NFPC'!T36</f>
        <v>3.7599774999999998</v>
      </c>
      <c r="U36" s="1">
        <f>'Baseline NFPC'!U36</f>
        <v>3.775979</v>
      </c>
      <c r="V36" s="1">
        <f>'Baseline NFPC'!V36</f>
        <v>3.7919805000000002</v>
      </c>
      <c r="W36" s="1">
        <f>'Baseline NFPC'!W36</f>
        <v>3.807982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J37" si="9">H37+($O$37-$G$37)/($O$10-$G$10)</f>
        <v>2.7938037499999995</v>
      </c>
      <c r="J37" s="1">
        <f t="shared" si="9"/>
        <v>2.7825181249999993</v>
      </c>
      <c r="K37" s="1">
        <f>IF('Criteria results'!$F$5=4,IF(J56&gt;90,G37+('Input data'!$C$53-$G$37)/($O$10-$G$10)*(K10-$G$10)+1+0.06*(J56-90),G37+('Input data'!$C$53-$G$37)/($O$10-$G$10)*(K10-$G$10)+1),G37+('Input data'!$C$53-$G$37)/($O$10-$G$10)*(K10-$G$10))</f>
        <v>3.7712325</v>
      </c>
      <c r="L37" s="1">
        <f>$G$37+('Input data'!$C$53-$G$37)/($O$10-$G$10)*(L10-$G$10)</f>
        <v>2.7599468749999998</v>
      </c>
      <c r="M37" s="1">
        <f>$G$37+('Input data'!$C$53-$G$37)/($O$10-$G$10)*(M10-$G$10)</f>
        <v>2.7486612500000001</v>
      </c>
      <c r="N37" s="1">
        <f>IF('Criteria results'!$F$5=7,IF(M56&gt;90,G37+('Input data'!$C$53-$G$37)/($O$10-$G$10)*(N10-$G$10)+1+0.06*(M56-90),G37+('Input data'!$C$53-$G$37)/($O$10-$G$10)*(N10-$G$10)+1),G37+('Input data'!$C$53-$G$37)/($O$10-$G$10)*(N10-$G$10))</f>
        <v>2.7373756250000003</v>
      </c>
      <c r="O37" s="252">
        <f>'Baseline NFPC'!O37</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8.9708819999999995E-2</v>
      </c>
      <c r="D38" s="34">
        <f>'Baseline NFPC'!D38</f>
        <v>3.952174E-2</v>
      </c>
      <c r="E38" s="34">
        <f>'Baseline NFPC'!E38</f>
        <v>3.0137259999999999E-2</v>
      </c>
      <c r="F38" s="34">
        <f>'Baseline NFPC'!F38</f>
        <v>5.50765E-2</v>
      </c>
      <c r="G38" s="34">
        <f>'Baseline NFPC'!G38</f>
        <v>5.5870452222222221E-2</v>
      </c>
      <c r="H38" s="34">
        <f>'Baseline NFPC'!H38</f>
        <v>5.6664404444444441E-2</v>
      </c>
      <c r="I38" s="34">
        <f>'Baseline NFPC'!I38</f>
        <v>5.7458356666666668E-2</v>
      </c>
      <c r="J38" s="34">
        <f>'Baseline NFPC'!J38</f>
        <v>5.8252308888888889E-2</v>
      </c>
      <c r="K38" s="34">
        <f>'Baseline NFPC'!K38</f>
        <v>5.9046261111111109E-2</v>
      </c>
      <c r="L38" s="34">
        <f>'Baseline NFPC'!L38</f>
        <v>5.9840213333333329E-2</v>
      </c>
      <c r="M38" s="34">
        <f>'Baseline NFPC'!M38</f>
        <v>6.063416555555555E-2</v>
      </c>
      <c r="N38" s="34">
        <f>'Baseline NFPC'!N38</f>
        <v>6.1428117777777777E-2</v>
      </c>
      <c r="O38" s="34">
        <f>'Baseline NFPC'!O38</f>
        <v>6.2222069999999997E-2</v>
      </c>
      <c r="P38" s="34">
        <f>'Baseline NFPC'!P38</f>
        <v>6.2222069999999997E-2</v>
      </c>
      <c r="Q38" s="34">
        <f>'Baseline NFPC'!Q38</f>
        <v>6.2222069999999997E-2</v>
      </c>
      <c r="R38" s="34">
        <f>'Baseline NFPC'!R38</f>
        <v>6.2222069999999997E-2</v>
      </c>
      <c r="S38" s="34">
        <f>'Baseline NFPC'!S38</f>
        <v>6.2222069999999997E-2</v>
      </c>
      <c r="T38" s="34">
        <f>'Baseline NFPC'!T38</f>
        <v>6.2222069999999997E-2</v>
      </c>
      <c r="U38" s="34">
        <f>'Baseline NFPC'!U38</f>
        <v>6.2222069999999997E-2</v>
      </c>
      <c r="V38" s="34">
        <f>'Baseline NFPC'!V38</f>
        <v>6.2222069999999997E-2</v>
      </c>
      <c r="W38" s="34">
        <f>'Baseline NFPC'!W38</f>
        <v>6.2222069999999997E-2</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2.6764709999999998</v>
      </c>
      <c r="D41" s="2">
        <f>'Input data'!D42</f>
        <v>6.4826920000000001</v>
      </c>
      <c r="E41" s="2">
        <f>'Input data'!E42</f>
        <v>8.8824670000000001</v>
      </c>
      <c r="F41" s="2">
        <f>'Input data'!F42</f>
        <v>3.3049719999999998</v>
      </c>
      <c r="G41" s="2">
        <f>'Input data'!G42</f>
        <v>2.9611909999999999</v>
      </c>
      <c r="H41" s="1">
        <f>'Baseline NFPC'!H41</f>
        <v>2.9097921250000001</v>
      </c>
      <c r="I41" s="1">
        <f>'Baseline NFPC'!I41</f>
        <v>2.8583932499999998</v>
      </c>
      <c r="J41" s="1">
        <f>'Baseline NFPC'!J41</f>
        <v>2.8069943749999999</v>
      </c>
      <c r="K41" s="1">
        <f>'Baseline NFPC'!K41</f>
        <v>2.7555955000000001</v>
      </c>
      <c r="L41" s="1">
        <f>'Baseline NFPC'!L41</f>
        <v>2.7041966249999998</v>
      </c>
      <c r="M41" s="1">
        <f>'Baseline NFPC'!M41</f>
        <v>2.65279775</v>
      </c>
      <c r="N41" s="1">
        <f>'Baseline NFPC'!N41</f>
        <v>2.6013988749999997</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0.99995230000000002</v>
      </c>
      <c r="D42" s="1">
        <f>'Baseline NFPC'!D42</f>
        <v>1</v>
      </c>
      <c r="E42" s="1">
        <f>'Baseline NFPC'!E42</f>
        <v>1</v>
      </c>
      <c r="F42" s="1">
        <f>'Baseline NFPC'!F42</f>
        <v>0.99999990000000005</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0.46800000000000003</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0.59801351059144037</v>
      </c>
      <c r="I50" s="34">
        <f t="shared" si="10"/>
        <v>0.18209458495590525</v>
      </c>
      <c r="J50" s="34">
        <f t="shared" si="10"/>
        <v>-9.4140877124041872E-2</v>
      </c>
      <c r="K50" s="34">
        <f t="shared" si="10"/>
        <v>-0.27753129474716864</v>
      </c>
      <c r="L50" s="34">
        <f t="shared" si="10"/>
        <v>-0.13876564737358432</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2.4607920000000001</v>
      </c>
      <c r="E51" s="34">
        <f>'Input data'!E30-$C$46*((E12-D12)-('Input data'!E13-'Input data'!D13))</f>
        <v>1.586897</v>
      </c>
      <c r="F51" s="34">
        <f>'Input data'!F30-$C$46*((F12-E12)-('Input data'!F13-'Input data'!E13))</f>
        <v>2.3434569999999999</v>
      </c>
      <c r="G51" s="34">
        <f>'Input data'!G30-$C$46*((G12-F12))</f>
        <v>2.6849849999999997</v>
      </c>
      <c r="H51" s="34">
        <f>'Input data'!H30-$C$46*((H12-G12))</f>
        <v>1.747576</v>
      </c>
      <c r="I51" s="34">
        <f>'Input data'!I30-$C$46*((I12-H12))</f>
        <v>1.4682519999999999</v>
      </c>
      <c r="J51" s="34">
        <f>'Input data'!J30-$C$46*((J12-I12))</f>
        <v>1.683325</v>
      </c>
      <c r="K51" s="34">
        <f>'Input data'!K30-$C$46*((K12-J12))</f>
        <v>2.3063069999999999</v>
      </c>
      <c r="L51" s="34">
        <f>'Input data'!L30-$C$46*((L12-K12))</f>
        <v>2.3041770000000001</v>
      </c>
      <c r="M51" s="34">
        <f>'Input data'!M30-$C$46*((M12-L12))</f>
        <v>2.282165</v>
      </c>
      <c r="N51" s="34">
        <f>'Input data'!N30-$C$46*((N12-M12))</f>
        <v>2.2710119999999998</v>
      </c>
      <c r="O51" s="34">
        <f>'Input data'!O30-$C$46*((O12-N12))</f>
        <v>2.2812250000000001</v>
      </c>
      <c r="P51" s="34">
        <f>'Input data'!P30-$C$46*((P12-O12))</f>
        <v>2.164819</v>
      </c>
      <c r="Q51" s="34">
        <f>'Input data'!Q30-$C$46*((Q12-P12))</f>
        <v>2.048413</v>
      </c>
      <c r="R51" s="34">
        <f>'Input data'!R30-$C$46*((R12-Q12))</f>
        <v>1.9320040000000001</v>
      </c>
      <c r="S51" s="34">
        <f>'Input data'!S30-$C$46*((S12-R12))</f>
        <v>1.876234</v>
      </c>
      <c r="T51" s="34">
        <f>'Input data'!T30-$C$46*((T12-S12))</f>
        <v>1.7763089999999999</v>
      </c>
      <c r="U51" s="34">
        <f>'Input data'!U30-$C$46*((U12-T12))</f>
        <v>1.665694</v>
      </c>
      <c r="V51" s="34">
        <f>'Input data'!V30-$C$46*((V12-U12))</f>
        <v>1.536637</v>
      </c>
      <c r="W51" s="34">
        <f>'Input data'!W30-$C$46*((W12-V12))</f>
        <v>1.4456929999999999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74.367679999999993</v>
      </c>
      <c r="D56" s="45">
        <f>+C56+D57</f>
        <v>72.475954801911442</v>
      </c>
      <c r="E56" s="45">
        <f t="shared" ref="E56:T56" si="11">+D56+E57</f>
        <v>69.219569977397526</v>
      </c>
      <c r="F56" s="45">
        <f>+E56+F57</f>
        <v>68.073476569055501</v>
      </c>
      <c r="G56" s="45">
        <f>+F56+G57</f>
        <v>66.45039802251047</v>
      </c>
      <c r="H56" s="45">
        <f>+G56+H57</f>
        <v>65.072880781600873</v>
      </c>
      <c r="I56" s="45">
        <f t="shared" si="11"/>
        <v>63.52490017138598</v>
      </c>
      <c r="J56" s="45">
        <f t="shared" si="11"/>
        <v>61.733292809090869</v>
      </c>
      <c r="K56" s="45">
        <f>+J56+K57</f>
        <v>59.960569855591416</v>
      </c>
      <c r="L56" s="45">
        <f t="shared" si="11"/>
        <v>58.390465694821671</v>
      </c>
      <c r="M56" s="45">
        <f t="shared" si="11"/>
        <v>57.031575073952204</v>
      </c>
      <c r="N56" s="45">
        <f t="shared" si="11"/>
        <v>56.000468484494391</v>
      </c>
      <c r="O56" s="46">
        <f t="shared" si="11"/>
        <v>55.24247601647798</v>
      </c>
      <c r="P56" s="46">
        <f>+O56+P57</f>
        <v>54.744409912261915</v>
      </c>
      <c r="Q56" s="46">
        <f t="shared" si="11"/>
        <v>54.546767083710314</v>
      </c>
      <c r="R56" s="46">
        <f t="shared" si="11"/>
        <v>54.616451033926452</v>
      </c>
      <c r="S56" s="46">
        <f t="shared" si="11"/>
        <v>54.893694046612204</v>
      </c>
      <c r="T56" s="46">
        <f t="shared" si="11"/>
        <v>55.445475453141064</v>
      </c>
      <c r="U56" s="46">
        <f t="shared" ref="U56" si="12">+T56+U57</f>
        <v>56.299186045912137</v>
      </c>
      <c r="V56" s="46">
        <f t="shared" ref="V56" si="13">+U56+V57</f>
        <v>57.402941707444583</v>
      </c>
      <c r="W56" s="46">
        <f t="shared" ref="W56" si="14">+V56+W57</f>
        <v>58.735712134131518</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-1.8917251980885534</v>
      </c>
      <c r="E57" s="47">
        <f t="shared" ref="E57:S57" si="15">-E58+E66+E71</f>
        <v>-3.2563848245139102</v>
      </c>
      <c r="F57" s="47">
        <f>-F58+F66+F71</f>
        <v>-1.1460934083420315</v>
      </c>
      <c r="G57" s="47">
        <f>-G58+G66+G71</f>
        <v>-1.6230785465450372</v>
      </c>
      <c r="H57" s="47">
        <f>-H58+H66+H71</f>
        <v>-1.3775172409095968</v>
      </c>
      <c r="I57" s="47">
        <f t="shared" si="15"/>
        <v>-1.5479806102148932</v>
      </c>
      <c r="J57" s="47">
        <f t="shared" si="15"/>
        <v>-1.7916073622951103</v>
      </c>
      <c r="K57" s="47">
        <f t="shared" si="15"/>
        <v>-1.7727229534994515</v>
      </c>
      <c r="L57" s="47">
        <f t="shared" si="15"/>
        <v>-1.5701041607697472</v>
      </c>
      <c r="M57" s="47">
        <f t="shared" si="15"/>
        <v>-1.3588906208694649</v>
      </c>
      <c r="N57" s="47">
        <f t="shared" si="15"/>
        <v>-1.0311065894578164</v>
      </c>
      <c r="O57" s="47">
        <f t="shared" si="15"/>
        <v>-0.75799246801641251</v>
      </c>
      <c r="P57" s="47">
        <f>-P58+P66+P71</f>
        <v>-0.49806610421606257</v>
      </c>
      <c r="Q57" s="47">
        <f t="shared" si="15"/>
        <v>-0.19764282855160076</v>
      </c>
      <c r="R57" s="47">
        <f t="shared" si="15"/>
        <v>6.9683950216140267E-2</v>
      </c>
      <c r="S57" s="47">
        <f t="shared" si="15"/>
        <v>0.27724301268574936</v>
      </c>
      <c r="T57" s="47">
        <f>-T58+T66+T71</f>
        <v>0.55178140652886287</v>
      </c>
      <c r="U57" s="47">
        <f>-U58+U66+U71</f>
        <v>0.85371059277106986</v>
      </c>
      <c r="V57" s="47">
        <f t="shared" ref="V57:W57" si="16">-V58+V66+V71</f>
        <v>1.1037556615324442</v>
      </c>
      <c r="W57" s="47">
        <f t="shared" si="16"/>
        <v>1.3327704266869329</v>
      </c>
    </row>
    <row r="58" spans="2:48" outlineLevel="1" x14ac:dyDescent="0.2">
      <c r="B58" s="84" t="s">
        <v>106</v>
      </c>
      <c r="C58" s="48"/>
      <c r="D58" s="48">
        <f>D59+D60-D61-D62-D63-D64-D65</f>
        <v>-1.8615918019114464</v>
      </c>
      <c r="E58" s="48">
        <f t="shared" ref="E58:S58" si="17">E59+E60-E61-E62-E63-E64-E65</f>
        <v>-1.2147641754860907</v>
      </c>
      <c r="F58" s="48">
        <f t="shared" si="17"/>
        <v>-1.3889442916579684</v>
      </c>
      <c r="G58" s="48">
        <f t="shared" si="17"/>
        <v>-0.86152171556480883</v>
      </c>
      <c r="H58" s="48">
        <f t="shared" si="17"/>
        <v>-0.23684460136095453</v>
      </c>
      <c r="I58" s="48">
        <f t="shared" si="17"/>
        <v>9.2381042589225748E-3</v>
      </c>
      <c r="J58" s="48">
        <f t="shared" si="17"/>
        <v>0.32049803108748764</v>
      </c>
      <c r="K58" s="48">
        <f t="shared" si="17"/>
        <v>0.2157378540583168</v>
      </c>
      <c r="L58" s="48">
        <f t="shared" si="17"/>
        <v>0.11663757702915722</v>
      </c>
      <c r="M58" s="48">
        <f t="shared" si="17"/>
        <v>2.4977399999998151E-2</v>
      </c>
      <c r="N58" s="48">
        <f t="shared" si="17"/>
        <v>-0.12025372717693172</v>
      </c>
      <c r="O58" s="48">
        <f t="shared" si="17"/>
        <v>-0.31059632717693142</v>
      </c>
      <c r="P58" s="48">
        <f t="shared" si="17"/>
        <v>-0.44153882717693471</v>
      </c>
      <c r="Q58" s="48">
        <f t="shared" si="17"/>
        <v>-0.62148178578280033</v>
      </c>
      <c r="R58" s="48">
        <f t="shared" si="17"/>
        <v>-0.77545622230115818</v>
      </c>
      <c r="S58" s="48">
        <f t="shared" si="17"/>
        <v>-0.90696872230115755</v>
      </c>
      <c r="T58" s="48">
        <f>T59+T60-T61-T62-T63-T64-T65</f>
        <v>-1.0855322419650517</v>
      </c>
      <c r="U58" s="48">
        <f>U59+U60-U61-U62-U63-U64-U65</f>
        <v>-1.2882856626295331</v>
      </c>
      <c r="V58" s="48">
        <f t="shared" ref="V58:W58" si="18">V59+V60-V61-V62-V63-V64-V65</f>
        <v>-1.4300358580426868</v>
      </c>
      <c r="W58" s="48">
        <f t="shared" si="18"/>
        <v>-1.5712507646954375</v>
      </c>
    </row>
    <row r="59" spans="2:48" outlineLevel="1" x14ac:dyDescent="0.2">
      <c r="B59" s="79" t="s">
        <v>107</v>
      </c>
      <c r="C59" s="1"/>
      <c r="D59" s="1">
        <f>D12</f>
        <v>-3.2634059999999998</v>
      </c>
      <c r="E59" s="1">
        <f>E12</f>
        <v>-1.555059</v>
      </c>
      <c r="F59" s="1">
        <f>F12</f>
        <v>-1.244675</v>
      </c>
      <c r="G59" s="1">
        <f t="shared" ref="G59:W59" si="19">IF(G12="",F59,G12)</f>
        <v>-0.80467500000000003</v>
      </c>
      <c r="H59" s="1">
        <f t="shared" si="19"/>
        <v>-0.36467500000000003</v>
      </c>
      <c r="I59" s="1">
        <f t="shared" si="19"/>
        <v>7.5324999999999975E-2</v>
      </c>
      <c r="J59" s="1">
        <f t="shared" si="19"/>
        <v>0.51532500000000003</v>
      </c>
      <c r="K59" s="1">
        <f t="shared" si="19"/>
        <v>0.51532500000000003</v>
      </c>
      <c r="L59" s="1">
        <f t="shared" si="19"/>
        <v>0.51532500000000003</v>
      </c>
      <c r="M59" s="1">
        <f t="shared" si="19"/>
        <v>0.51532500000000003</v>
      </c>
      <c r="N59" s="1">
        <f t="shared" si="19"/>
        <v>0.51532500000000003</v>
      </c>
      <c r="O59" s="1">
        <f t="shared" si="19"/>
        <v>0.51532500000000003</v>
      </c>
      <c r="P59" s="1">
        <f t="shared" si="19"/>
        <v>0.51532500000000003</v>
      </c>
      <c r="Q59" s="1">
        <f t="shared" si="19"/>
        <v>0.51532500000000003</v>
      </c>
      <c r="R59" s="1">
        <f t="shared" si="19"/>
        <v>0.51532500000000003</v>
      </c>
      <c r="S59" s="1">
        <f t="shared" si="19"/>
        <v>0.51532500000000003</v>
      </c>
      <c r="T59" s="1">
        <f t="shared" si="19"/>
        <v>0.51532500000000003</v>
      </c>
      <c r="U59" s="1">
        <f t="shared" si="19"/>
        <v>0.51532500000000003</v>
      </c>
      <c r="V59" s="1">
        <f t="shared" si="19"/>
        <v>0.51532500000000003</v>
      </c>
      <c r="W59" s="1">
        <f t="shared" si="19"/>
        <v>0.51532500000000003</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-1.4018141980885535</v>
      </c>
      <c r="E61" s="1">
        <f t="shared" si="20"/>
        <v>-0.74606702451390927</v>
      </c>
      <c r="F61" s="1">
        <f t="shared" si="20"/>
        <v>-0.50788490834203148</v>
      </c>
      <c r="G61" s="1">
        <f t="shared" si="20"/>
        <v>-0.41980548443519122</v>
      </c>
      <c r="H61" s="1">
        <f t="shared" si="20"/>
        <v>-0.12783039863904549</v>
      </c>
      <c r="I61" s="1">
        <f t="shared" si="20"/>
        <v>6.6086895741077401E-2</v>
      </c>
      <c r="J61" s="1">
        <f t="shared" si="20"/>
        <v>0.19482696891251239</v>
      </c>
      <c r="K61" s="1">
        <f t="shared" si="20"/>
        <v>0.12988464594168012</v>
      </c>
      <c r="L61" s="1">
        <f t="shared" si="20"/>
        <v>6.4942322970842667E-2</v>
      </c>
      <c r="M61" s="1">
        <f t="shared" si="20"/>
        <v>0</v>
      </c>
      <c r="N61" s="1">
        <f t="shared" si="20"/>
        <v>-1.3728230688236922E-6</v>
      </c>
      <c r="O61" s="1">
        <f t="shared" si="20"/>
        <v>-1.3728230688236922E-6</v>
      </c>
      <c r="P61" s="1">
        <f t="shared" si="20"/>
        <v>-1.3728230688236922E-6</v>
      </c>
      <c r="Q61" s="1">
        <f t="shared" si="20"/>
        <v>-9.1421719874418281E-7</v>
      </c>
      <c r="R61" s="1">
        <f t="shared" si="20"/>
        <v>9.2230115744662566E-7</v>
      </c>
      <c r="S61" s="1">
        <f t="shared" si="20"/>
        <v>9.2230115744662566E-7</v>
      </c>
      <c r="T61" s="1">
        <f t="shared" si="20"/>
        <v>1.8419650500867137E-6</v>
      </c>
      <c r="U61" s="1">
        <f t="shared" si="20"/>
        <v>2.7626295323379683E-6</v>
      </c>
      <c r="V61" s="1">
        <f t="shared" si="20"/>
        <v>4.5804268737903443E-7</v>
      </c>
      <c r="W61" s="1">
        <f t="shared" si="20"/>
        <v>2.7646954361859601E-6</v>
      </c>
    </row>
    <row r="62" spans="2:48" outlineLevel="1" x14ac:dyDescent="0.2">
      <c r="B62" s="79" t="s">
        <v>110</v>
      </c>
      <c r="C62" s="1"/>
      <c r="D62" s="1">
        <f t="shared" ref="D62:W62" si="21">-D13</f>
        <v>0</v>
      </c>
      <c r="E62" s="1">
        <f t="shared" si="21"/>
        <v>0.40577220000000003</v>
      </c>
      <c r="F62" s="1">
        <f t="shared" si="21"/>
        <v>0.65215420000000002</v>
      </c>
      <c r="G62" s="1">
        <f t="shared" si="21"/>
        <v>0.47665220000000003</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0.1706200000000031</v>
      </c>
      <c r="L63" s="1">
        <f>IF(L$55&lt;=$C$6,0,HLOOKUP(L$55,'Input data'!$C$9:$BB$26,12,FALSE)-HLOOKUP($C$6,'Input data'!$C$9:$BB$26,12,FALSE))</f>
        <v>0.33558000000000021</v>
      </c>
      <c r="M63" s="1">
        <f>IF(M$55&lt;=$C$6,0,HLOOKUP(M$55,'Input data'!$C$9:$BB$26,12,FALSE)-HLOOKUP($C$6,'Input data'!$C$9:$BB$26,12,FALSE))</f>
        <v>0.49310000000000187</v>
      </c>
      <c r="N63" s="1">
        <f>IF(N$55&lt;=$C$6,0,HLOOKUP(N$55,'Input data'!$C$9:$BB$26,12,FALSE)-HLOOKUP($C$6,'Input data'!$C$9:$BB$26,12,FALSE))</f>
        <v>0.63925000000000054</v>
      </c>
      <c r="O63" s="1">
        <f>IF(O$55&lt;=$C$6,0,HLOOKUP(O$55,'Input data'!$C$9:$BB$26,12,FALSE)-HLOOKUP($C$6,'Input data'!$C$9:$BB$26,12,FALSE))</f>
        <v>0.8305100000000003</v>
      </c>
      <c r="P63" s="1">
        <f>IF(P$55&lt;=$C$6,0,HLOOKUP(P$55,'Input data'!$C$9:$BB$26,12,FALSE)-HLOOKUP($C$6,'Input data'!$C$9:$BB$26,12,FALSE))</f>
        <v>0.9623700000000035</v>
      </c>
      <c r="Q63" s="1">
        <f>IF(Q$55&lt;=$C$6,0,HLOOKUP(Q$55,'Input data'!$C$9:$BB$26,12,FALSE)-HLOOKUP($C$6,'Input data'!$C$9:$BB$26,12,FALSE))</f>
        <v>1.1432299999999991</v>
      </c>
      <c r="R63" s="1">
        <f>IF(R$55&lt;=$C$6,0,HLOOKUP(R$55,'Input data'!$C$9:$BB$26,12,FALSE)-HLOOKUP($C$6,'Input data'!$C$9:$BB$26,12,FALSE))</f>
        <v>1.2981200000000008</v>
      </c>
      <c r="S63" s="1">
        <f>IF(S$55&lt;=$C$6,0,HLOOKUP(S$55,'Input data'!$C$9:$BB$26,12,FALSE)-HLOOKUP($C$6,'Input data'!$C$9:$BB$26,12,FALSE))</f>
        <v>1.4305500000000002</v>
      </c>
      <c r="T63" s="1">
        <f>IF(T$55&lt;=$C$6,0,HLOOKUP(T$55,'Input data'!$C$9:$BB$26,12,FALSE)-HLOOKUP($C$6,'Input data'!$C$9:$BB$26,12,FALSE))</f>
        <v>1.6100300000000018</v>
      </c>
      <c r="U63" s="1">
        <f>IF(U$55&lt;=$C$6,0,HLOOKUP(U$55,'Input data'!$C$9:$BB$26,12,FALSE)-HLOOKUP($C$6,'Input data'!$C$9:$BB$26,12,FALSE))</f>
        <v>1.8137000000000008</v>
      </c>
      <c r="V63" s="1">
        <f>IF(V$55&lt;=$C$6,0,HLOOKUP(V$55,'Input data'!$C$9:$BB$26,12,FALSE)-HLOOKUP($C$6,'Input data'!$C$9:$BB$26,12,FALSE))</f>
        <v>1.9563699999999997</v>
      </c>
      <c r="W63" s="1">
        <f>IF(W$55&lt;=$C$6,0,HLOOKUP(W$55,'Input data'!$C$9:$BB$26,12,FALSE)-HLOOKUP($C$6,'Input data'!$C$9:$BB$26,12,FALSE))</f>
        <v>2.0985000000000014</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-9.1750000000001553E-4</v>
      </c>
      <c r="L64" s="1">
        <f>IF(L$55&lt;=$C$6,0,-HLOOKUP(L$55,'Input data'!$C$9:$BB$26,18,FALSE)+HLOOKUP($C$6,'Input data'!$C$9:$BB$26,18,FALSE))</f>
        <v>-1.8349000000000837E-3</v>
      </c>
      <c r="M64" s="1">
        <f>IF(M$55&lt;=$C$6,0,-HLOOKUP(M$55,'Input data'!$C$9:$BB$26,18,FALSE)+HLOOKUP($C$6,'Input data'!$C$9:$BB$26,18,FALSE))</f>
        <v>-2.7523999999999882E-3</v>
      </c>
      <c r="N64" s="1">
        <f>IF(N$55&lt;=$C$6,0,-HLOOKUP(N$55,'Input data'!$C$9:$BB$26,18,FALSE)+HLOOKUP($C$6,'Input data'!$C$9:$BB$26,18,FALSE))</f>
        <v>-3.6699000000000037E-3</v>
      </c>
      <c r="O64" s="1">
        <f>IF(O$55&lt;=$C$6,0,-HLOOKUP(O$55,'Input data'!$C$9:$BB$26,18,FALSE)+HLOOKUP($C$6,'Input data'!$C$9:$BB$26,18,FALSE))</f>
        <v>-4.5873000000000719E-3</v>
      </c>
      <c r="P64" s="1">
        <f>IF(P$55&lt;=$C$6,0,-HLOOKUP(P$55,'Input data'!$C$9:$BB$26,18,FALSE)+HLOOKUP($C$6,'Input data'!$C$9:$BB$26,18,FALSE))</f>
        <v>-5.5047999999999764E-3</v>
      </c>
      <c r="Q64" s="1">
        <f>IF(Q$55&lt;=$C$6,0,-HLOOKUP(Q$55,'Input data'!$C$9:$BB$26,18,FALSE)+HLOOKUP($C$6,'Input data'!$C$9:$BB$26,18,FALSE))</f>
        <v>-6.4222999999999919E-3</v>
      </c>
      <c r="R64" s="1">
        <f>IF(R$55&lt;=$C$6,0,-HLOOKUP(R$55,'Input data'!$C$9:$BB$26,18,FALSE)+HLOOKUP($C$6,'Input data'!$C$9:$BB$26,18,FALSE))</f>
        <v>-7.3397000000000601E-3</v>
      </c>
      <c r="S64" s="1">
        <f>IF(S$55&lt;=$C$6,0,-HLOOKUP(S$55,'Input data'!$C$9:$BB$26,18,FALSE)+HLOOKUP($C$6,'Input data'!$C$9:$BB$26,18,FALSE))</f>
        <v>-8.2572000000000756E-3</v>
      </c>
      <c r="T64" s="1">
        <f>IF(T$55&lt;=$C$6,0,-HLOOKUP(T$55,'Input data'!$C$9:$BB$26,18,FALSE)+HLOOKUP($C$6,'Input data'!$C$9:$BB$26,18,FALSE))</f>
        <v>-9.1746000000000327E-3</v>
      </c>
      <c r="U64" s="1">
        <f>IF(U$55&lt;=$C$6,0,-HLOOKUP(U$55,'Input data'!$C$9:$BB$26,18,FALSE)+HLOOKUP($C$6,'Input data'!$C$9:$BB$26,18,FALSE))</f>
        <v>-1.0092100000000048E-2</v>
      </c>
      <c r="V64" s="1">
        <f>IF(V$55&lt;=$C$6,0,-HLOOKUP(V$55,'Input data'!$C$9:$BB$26,18,FALSE)+HLOOKUP($C$6,'Input data'!$C$9:$BB$26,18,FALSE))</f>
        <v>-1.1009600000000064E-2</v>
      </c>
      <c r="W64" s="1">
        <f>IF(W$55&lt;=$C$6,0,-HLOOKUP(W$55,'Input data'!$C$9:$BB$26,18,FALSE)+HLOOKUP($C$6,'Input data'!$C$9:$BB$26,18,FALSE))</f>
        <v>-1.1927000000000021E-2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-5.0836959999999998</v>
      </c>
      <c r="E66" s="48">
        <f t="shared" si="22"/>
        <v>-5.7078360000000004</v>
      </c>
      <c r="F66" s="48">
        <f t="shared" si="22"/>
        <v>-2.3350279999999999</v>
      </c>
      <c r="G66" s="48">
        <f>SUM(G67:G70)</f>
        <v>-2.2845987621098462</v>
      </c>
      <c r="H66" s="48">
        <f>SUM(H67:H70)</f>
        <v>-1.6143618422705515</v>
      </c>
      <c r="I66" s="48">
        <f t="shared" si="22"/>
        <v>-1.5387425059559707</v>
      </c>
      <c r="J66" s="48">
        <f t="shared" si="22"/>
        <v>-1.4711093312076227</v>
      </c>
      <c r="K66" s="48">
        <f t="shared" si="22"/>
        <v>-1.5569850994411347</v>
      </c>
      <c r="L66" s="48">
        <f t="shared" si="22"/>
        <v>-1.45346658374059</v>
      </c>
      <c r="M66" s="48">
        <f t="shared" si="22"/>
        <v>-1.3339132208694668</v>
      </c>
      <c r="N66" s="48">
        <f t="shared" si="22"/>
        <v>-1.1513603166347481</v>
      </c>
      <c r="O66" s="48">
        <f t="shared" si="22"/>
        <v>-1.0685887951933439</v>
      </c>
      <c r="P66" s="48">
        <f t="shared" si="22"/>
        <v>-0.93960493139299728</v>
      </c>
      <c r="Q66" s="48">
        <f t="shared" si="22"/>
        <v>-0.81912461433440109</v>
      </c>
      <c r="R66" s="48">
        <f t="shared" si="22"/>
        <v>-0.70577227208501792</v>
      </c>
      <c r="S66" s="48">
        <f t="shared" si="22"/>
        <v>-0.62972570961540819</v>
      </c>
      <c r="T66" s="48">
        <f t="shared" si="22"/>
        <v>-0.53375083543618884</v>
      </c>
      <c r="U66" s="48">
        <f>SUM(U67:U70)</f>
        <v>-0.43457506985846328</v>
      </c>
      <c r="V66" s="48">
        <f t="shared" ref="V66:W66" si="23">SUM(V67:V70)</f>
        <v>-0.32628019651024265</v>
      </c>
      <c r="W66" s="48">
        <f t="shared" si="23"/>
        <v>-0.23848033800850454</v>
      </c>
    </row>
    <row r="67" spans="2:23" outlineLevel="1" x14ac:dyDescent="0.2">
      <c r="B67" s="79" t="s">
        <v>115</v>
      </c>
      <c r="C67" s="34"/>
      <c r="D67" s="34">
        <f>C56*D35/100*(1/(1+D32/100))</f>
        <v>1.1211705707570556</v>
      </c>
      <c r="E67" s="34">
        <f t="shared" ref="E67:F67" si="24">D56*E35/100*(1/(1+E32/100))</f>
        <v>1.2444369200439294</v>
      </c>
      <c r="F67" s="34">
        <f t="shared" si="24"/>
        <v>1.4137507336400548</v>
      </c>
      <c r="G67" s="34">
        <f>F56*G35/100*(1/(1+G32/100))</f>
        <v>1.4019903431218044</v>
      </c>
      <c r="H67" s="34">
        <f t="shared" ref="H67:W67" si="25">G56*H35/100*(1/(1+H32/100))</f>
        <v>1.441166343077823</v>
      </c>
      <c r="I67" s="34">
        <f t="shared" si="25"/>
        <v>1.4652888458319284</v>
      </c>
      <c r="J67" s="34">
        <f t="shared" si="25"/>
        <v>1.4799057792034565</v>
      </c>
      <c r="K67" s="34">
        <f t="shared" si="25"/>
        <v>1.5345718803823489</v>
      </c>
      <c r="L67" s="34">
        <f t="shared" si="25"/>
        <v>1.5195148936468217</v>
      </c>
      <c r="M67" s="34">
        <f t="shared" si="25"/>
        <v>1.5213741554055387</v>
      </c>
      <c r="N67" s="34">
        <f t="shared" si="25"/>
        <v>1.5289655359576291</v>
      </c>
      <c r="O67" s="34">
        <f t="shared" si="25"/>
        <v>1.5418607805325271</v>
      </c>
      <c r="P67" s="34">
        <f t="shared" si="25"/>
        <v>1.5613588452700649</v>
      </c>
      <c r="Q67" s="34">
        <f t="shared" si="25"/>
        <v>1.5856317109821794</v>
      </c>
      <c r="R67" s="34">
        <f t="shared" si="25"/>
        <v>1.6167326832354332</v>
      </c>
      <c r="S67" s="34">
        <f t="shared" si="25"/>
        <v>1.6530754806344294</v>
      </c>
      <c r="T67" s="34">
        <f t="shared" si="25"/>
        <v>1.6948578101742016</v>
      </c>
      <c r="U67" s="34">
        <f t="shared" si="25"/>
        <v>1.7442548783496492</v>
      </c>
      <c r="V67" s="34">
        <f t="shared" si="25"/>
        <v>1.8028016535625659</v>
      </c>
      <c r="W67" s="34">
        <f t="shared" si="25"/>
        <v>1.8679717760811387</v>
      </c>
    </row>
    <row r="68" spans="2:23" outlineLevel="1" x14ac:dyDescent="0.2">
      <c r="B68" s="79" t="s">
        <v>116</v>
      </c>
      <c r="C68" s="34"/>
      <c r="D68" s="34">
        <f t="shared" ref="D68:W68" si="26">-C56*(D23/100)*(1/(1+D32/100))</f>
        <v>-1.677345040529362</v>
      </c>
      <c r="E68" s="34">
        <f t="shared" si="26"/>
        <v>-1.0397933543702227</v>
      </c>
      <c r="F68" s="34">
        <f t="shared" si="26"/>
        <v>-1.5342798415845809</v>
      </c>
      <c r="G68" s="34">
        <f t="shared" si="26"/>
        <v>-1.7287782625372314</v>
      </c>
      <c r="H68" s="34">
        <f>-G56*(H23/100)*(1/(1+H32/100))</f>
        <v>-1.1766317180991306</v>
      </c>
      <c r="I68" s="34">
        <f t="shared" si="26"/>
        <v>-1.195682248646696</v>
      </c>
      <c r="J68" s="34">
        <f t="shared" si="26"/>
        <v>-1.2165607716031901</v>
      </c>
      <c r="K68" s="34">
        <f t="shared" si="26"/>
        <v>-1.4360560502910074</v>
      </c>
      <c r="L68" s="34">
        <f t="shared" si="26"/>
        <v>-1.3942225175310621</v>
      </c>
      <c r="M68" s="34">
        <f t="shared" si="26"/>
        <v>-1.3463358482911996</v>
      </c>
      <c r="N68" s="34">
        <f t="shared" si="26"/>
        <v>-1.2343233919669854</v>
      </c>
      <c r="O68" s="34">
        <f t="shared" si="26"/>
        <v>-1.2179464588515592</v>
      </c>
      <c r="P68" s="34">
        <f t="shared" si="26"/>
        <v>-1.1417582778548423</v>
      </c>
      <c r="Q68" s="34">
        <f t="shared" si="26"/>
        <v>-1.072132268229957</v>
      </c>
      <c r="R68" s="34">
        <f t="shared" si="26"/>
        <v>-1.0089748332909765</v>
      </c>
      <c r="S68" s="34">
        <f t="shared" si="26"/>
        <v>-0.98190173180801288</v>
      </c>
      <c r="T68" s="34">
        <f t="shared" si="26"/>
        <v>-0.93549465183568614</v>
      </c>
      <c r="U68" s="34">
        <f t="shared" si="26"/>
        <v>-0.88725931817694137</v>
      </c>
      <c r="V68" s="34">
        <f t="shared" si="26"/>
        <v>-0.8323978640118177</v>
      </c>
      <c r="W68" s="34">
        <f t="shared" si="26"/>
        <v>-0.79941747929685669</v>
      </c>
    </row>
    <row r="69" spans="2:23" outlineLevel="1" x14ac:dyDescent="0.2">
      <c r="B69" s="79" t="s">
        <v>117</v>
      </c>
      <c r="C69" s="34"/>
      <c r="D69" s="34">
        <f t="shared" ref="D69:T69" si="27">-C56*D41/100*(1/(1+D41/100))</f>
        <v>-4.5275223150308781</v>
      </c>
      <c r="E69" s="34">
        <f t="shared" si="27"/>
        <v>-5.9124787907447942</v>
      </c>
      <c r="F69" s="34">
        <f t="shared" si="27"/>
        <v>-2.214498839681593</v>
      </c>
      <c r="G69" s="34">
        <f t="shared" si="27"/>
        <v>-1.9578111344399465</v>
      </c>
      <c r="H69" s="34">
        <f>-G56*H41/100*(1/(1+H41/100))</f>
        <v>-1.8788964672492439</v>
      </c>
      <c r="I69" s="34">
        <f t="shared" si="27"/>
        <v>-1.8083491031412031</v>
      </c>
      <c r="J69" s="34">
        <f t="shared" si="27"/>
        <v>-1.734454338807889</v>
      </c>
      <c r="K69" s="34">
        <f t="shared" si="27"/>
        <v>-1.6555009295324763</v>
      </c>
      <c r="L69" s="34">
        <f t="shared" si="27"/>
        <v>-1.5787589598563496</v>
      </c>
      <c r="M69" s="34">
        <f t="shared" si="27"/>
        <v>-1.5089515279838059</v>
      </c>
      <c r="N69" s="34">
        <f t="shared" si="27"/>
        <v>-1.4460024606253918</v>
      </c>
      <c r="O69" s="34">
        <f t="shared" si="27"/>
        <v>-1.3925031168743118</v>
      </c>
      <c r="P69" s="34">
        <f t="shared" si="27"/>
        <v>-1.3592054988082198</v>
      </c>
      <c r="Q69" s="34">
        <f t="shared" si="27"/>
        <v>-1.3326240570866235</v>
      </c>
      <c r="R69" s="34">
        <f t="shared" si="27"/>
        <v>-1.3135301220294746</v>
      </c>
      <c r="S69" s="34">
        <f>-R56*S41/100*(1/(1+S41/100))</f>
        <v>-1.3008994584418248</v>
      </c>
      <c r="T69" s="34">
        <f t="shared" si="27"/>
        <v>-1.2931139937747043</v>
      </c>
      <c r="U69" s="34">
        <f t="shared" ref="U69" si="28">-T56*U41/100*(1/(1+U41/100))</f>
        <v>-1.2915706300311711</v>
      </c>
      <c r="V69" s="34">
        <f t="shared" ref="V69" si="29">-U56*V41/100*(1/(1+V41/100))</f>
        <v>-1.2966839860609909</v>
      </c>
      <c r="W69" s="34">
        <f t="shared" ref="W69" si="30">-V56*W41/100*(1/(1+W41/100))</f>
        <v>-1.3070346347927866</v>
      </c>
    </row>
    <row r="70" spans="2:23" outlineLevel="1" x14ac:dyDescent="0.2">
      <c r="B70" s="79" t="s">
        <v>118</v>
      </c>
      <c r="C70" s="49"/>
      <c r="D70" s="49">
        <f>'Baseline NFPC'!D70</f>
        <v>7.8480318421725315E-7</v>
      </c>
      <c r="E70" s="49">
        <f>'Baseline NFPC'!E70</f>
        <v>-7.7492891303876377E-7</v>
      </c>
      <c r="F70" s="49">
        <f>'Baseline NFPC'!F70</f>
        <v>-5.237388078782601E-8</v>
      </c>
      <c r="G70" s="49">
        <f>'Baseline NFPC'!G70</f>
        <v>2.917455272921643E-7</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1.330379</v>
      </c>
      <c r="E71" s="50">
        <f>'Input data'!E16</f>
        <v>1.2366870000000001</v>
      </c>
      <c r="F71" s="50">
        <f>'Input data'!F16</f>
        <v>-0.20000970000000001</v>
      </c>
      <c r="G71" s="50">
        <f>'Input data'!G16</f>
        <v>-0.2000015</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1.3303780000000001</v>
      </c>
      <c r="E72" s="34">
        <f t="shared" si="31"/>
        <v>1.2366839999999999</v>
      </c>
      <c r="F72" s="34">
        <f t="shared" si="31"/>
        <v>-0.20000760000000001</v>
      </c>
      <c r="G72" s="34">
        <f t="shared" si="31"/>
        <v>-0.2</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9.9999999991773336E-7</v>
      </c>
      <c r="E73" s="49">
        <f t="shared" ref="E73:T73" si="32">+E71-E72</f>
        <v>3.0000000001972893E-6</v>
      </c>
      <c r="F73" s="49">
        <f t="shared" si="32"/>
        <v>-2.1000000000048757E-6</v>
      </c>
      <c r="G73" s="49">
        <f t="shared" si="32"/>
        <v>-1.4999999999876223E-6</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1</v>
      </c>
      <c r="S75" s="51">
        <f t="shared" si="34"/>
        <v>1</v>
      </c>
      <c r="T75" s="51">
        <f t="shared" si="34"/>
        <v>1</v>
      </c>
      <c r="U75" s="51">
        <f t="shared" si="34"/>
        <v>1</v>
      </c>
      <c r="V75" s="51">
        <f t="shared" si="34"/>
        <v>1</v>
      </c>
      <c r="W75" s="51">
        <f t="shared" si="34"/>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74.367679999999993</v>
      </c>
      <c r="D83" s="110">
        <f>D56</f>
        <v>72.475954801911442</v>
      </c>
      <c r="E83" s="110">
        <f>E56</f>
        <v>69.219569977397526</v>
      </c>
      <c r="F83" s="110">
        <f>F56</f>
        <v>68.073476569055501</v>
      </c>
      <c r="G83" s="110">
        <f>G56</f>
        <v>66.45039802251047</v>
      </c>
      <c r="H83" s="110">
        <f>G83*(1+H97/100)*H42-H59-H60+H61+H62+H63+H64+H65+H71</f>
        <v>65.072880781600873</v>
      </c>
      <c r="I83" s="110">
        <f t="shared" ref="I83:T83" si="39">H83*(1+I97/100)*I42-I59-I60+I61+I62+I63+I64+I65+I71</f>
        <v>63.524900171385994</v>
      </c>
      <c r="J83" s="110">
        <f t="shared" si="39"/>
        <v>61.733292809090884</v>
      </c>
      <c r="K83" s="110">
        <f t="shared" si="39"/>
        <v>59.96056985559143</v>
      </c>
      <c r="L83" s="110">
        <f t="shared" si="39"/>
        <v>58.390465694821685</v>
      </c>
      <c r="M83" s="110">
        <f t="shared" si="39"/>
        <v>57.031575073952233</v>
      </c>
      <c r="N83" s="110">
        <f t="shared" si="39"/>
        <v>56.000468484494426</v>
      </c>
      <c r="O83" s="110">
        <f t="shared" si="39"/>
        <v>55.242476016478022</v>
      </c>
      <c r="P83" s="110">
        <f t="shared" si="39"/>
        <v>54.744409912261958</v>
      </c>
      <c r="Q83" s="110">
        <f t="shared" si="39"/>
        <v>54.546767083710364</v>
      </c>
      <c r="R83" s="110">
        <f t="shared" si="39"/>
        <v>54.616451033926495</v>
      </c>
      <c r="S83" s="110">
        <f t="shared" si="39"/>
        <v>54.893694046612254</v>
      </c>
      <c r="T83" s="110">
        <f t="shared" si="39"/>
        <v>55.445475453141121</v>
      </c>
      <c r="U83" s="110">
        <f>T83*(1+U97/100)*U42-U59-U60+U61+U62+U63+U64+U65+U71</f>
        <v>56.299186045912201</v>
      </c>
      <c r="V83" s="110">
        <f t="shared" ref="V83:W83" si="40">U83*(1+V97/100)*V42-V59-V60+V61+V62+V63+V64+V65+V71</f>
        <v>57.402941707444647</v>
      </c>
      <c r="W83" s="110">
        <f t="shared" si="40"/>
        <v>58.735712134131582</v>
      </c>
    </row>
    <row r="84" spans="2:23" x14ac:dyDescent="0.2">
      <c r="B84" s="26" t="s">
        <v>127</v>
      </c>
      <c r="C84" s="34"/>
      <c r="D84" s="254">
        <f>'Input data'!C66*$D$83</f>
        <v>64.060964244374262</v>
      </c>
      <c r="E84" s="34">
        <f t="shared" ref="E84" si="41">IF(E83=0,0,IF(E79=1,D83*E42/((1+E23/100)*(1+E41/100))-E85-E86,IF(AND(E79=0,E80=1),(1-D89-E38*D90)*D83*E42/((1+E23/100)*(1+E41/100)),E83)))</f>
        <v>62.18233333201178</v>
      </c>
      <c r="F84" s="34">
        <f t="shared" ref="F84" si="42">IF(F83=0,0,IF(F79=1,E83*F42/((1+F23/100)*(1+F41/100))-F85-F86,IF(AND(F79=0,F80=1),(1-E89-F38*E90)*E83*F42/((1+F23/100)*(1+F41/100)),F83)))</f>
        <v>60.507217589514426</v>
      </c>
      <c r="G84" s="34">
        <f t="shared" ref="G84" si="43">IF(G83=0,0,IF(G79=1,F83*G42/((1+G23/100)*(1+G41/100))-G85-G86,IF(AND(G79=0,G80=1),(1-F89-G38*F90)*F83*G42/((1+G23/100)*(1+G41/100)),G83)))</f>
        <v>59.437354139717591</v>
      </c>
      <c r="H84" s="34">
        <f t="shared" ref="H84:W84" si="44">IF(H83=0,0,IF(H79=1,G83*H42/((1+H23/100)*(1+H41/100))-H85-H86,IF(AND(H79=0,H80=1),(1-G89-H38*G90)*G83*H42/((1+H23/100)*(1+H41/100)),H83)))</f>
        <v>58.458440753876012</v>
      </c>
      <c r="I84" s="34">
        <f t="shared" si="44"/>
        <v>57.176529407960771</v>
      </c>
      <c r="J84" s="34">
        <f t="shared" si="44"/>
        <v>55.743130935855646</v>
      </c>
      <c r="K84" s="34">
        <f t="shared" si="44"/>
        <v>53.912398818789327</v>
      </c>
      <c r="L84" s="34">
        <f t="shared" si="44"/>
        <v>52.339442049453893</v>
      </c>
      <c r="M84" s="34">
        <f t="shared" si="44"/>
        <v>50.954095118633262</v>
      </c>
      <c r="N84" s="34">
        <f t="shared" si="44"/>
        <v>49.816999931235586</v>
      </c>
      <c r="O84" s="34">
        <f t="shared" si="44"/>
        <v>48.885253411093252</v>
      </c>
      <c r="P84" s="34">
        <f t="shared" si="44"/>
        <v>48.281299453008955</v>
      </c>
      <c r="Q84" s="34">
        <f t="shared" si="44"/>
        <v>47.902788186657979</v>
      </c>
      <c r="R84" s="34">
        <f t="shared" si="44"/>
        <v>47.785870160848972</v>
      </c>
      <c r="S84" s="34">
        <f t="shared" si="44"/>
        <v>47.874191037614011</v>
      </c>
      <c r="T84" s="34">
        <f t="shared" si="44"/>
        <v>48.165324746250818</v>
      </c>
      <c r="U84" s="34">
        <f t="shared" si="44"/>
        <v>48.702983280113116</v>
      </c>
      <c r="V84" s="34">
        <f t="shared" si="44"/>
        <v>49.516063776021952</v>
      </c>
      <c r="W84" s="34">
        <f t="shared" si="44"/>
        <v>50.532574616639373</v>
      </c>
    </row>
    <row r="85" spans="2:23" x14ac:dyDescent="0.2">
      <c r="B85" s="105" t="s">
        <v>128</v>
      </c>
      <c r="C85" s="34"/>
      <c r="D85" s="254">
        <f>'Input data'!C67*$D$83</f>
        <v>2.6359801746474867</v>
      </c>
      <c r="E85" s="34">
        <f t="shared" ref="E85" si="45">IF(E83=0,0,IF(E79=1,E38*D83*D90*E42/((1+E23/100)*(1+E41/100)),IF(AND(E79=0,E80=1),(E38*D83*D90*E42/((1+E23/100)*(1+E41/100)))*(1-ABS(E83-D83*E42/((1+E23/100)*(1+E41/100)))/((E38*D83*D90*E42/((1+E23/100)*(1+E41/100)))+(D89*D83*E42/((1+E23/100)*(1+E41/100))))),0)))</f>
        <v>1.9322374906716235</v>
      </c>
      <c r="F85" s="34">
        <f t="shared" ref="F85" si="46">IF(F83=0,0,IF(F79=1,F38*E83*E90*F42/((1+F23/100)*(1+F41/100)),IF(AND(F79=0,F80=1),(F38*E83*E90*F42/((1+F23/100)*(1+F41/100)))*(1-ABS(F83-E83*F42/((1+F23/100)*(1+F41/100)))/((F38*E83*E90*F42/((1+F23/100)*(1+F41/100)))+(E89*E83*F42/((1+F23/100)*(1+F41/100))))),0)))</f>
        <v>3.5267677960902559</v>
      </c>
      <c r="G85" s="34">
        <f t="shared" ref="G85" si="47">IF(G83=0,0,IF(G79=1,G38*F83*F90*G42/((1+G23/100)*(1+G41/100)),IF(AND(G79=0,G80=1),(G38*F83*F90*G42/((1+G23/100)*(1+G41/100)))*(1-ABS(G83-F83*G42/((1+G23/100)*(1+G41/100)))/((G38*F83*F90*G42/((1+G23/100)*(1+G41/100)))+(F89*F83*G42/((1+G23/100)*(1+G41/100))))),0)))</f>
        <v>3.5173052919428573</v>
      </c>
      <c r="H85" s="34">
        <f t="shared" ref="H85:W85" si="48">IF(H83=0,0,IF(H79=1,H38*G83*G90*H42/((1+H23/100)*(1+H41/100)),IF(AND(H79=0,H80=1),(H38*G83*G90*H42/((1+H23/100)*(1+H41/100)))*(1-ABS(H83-G83*H42/((1+H23/100)*(1+H41/100)))/((H38*G83*G90*H42/((1+H23/100)*(1+H41/100)))+(G89*G83*H42/((1+H23/100)*(1+H41/100))))),0)))</f>
        <v>3.5114891727565909</v>
      </c>
      <c r="I85" s="34">
        <f t="shared" si="48"/>
        <v>3.4855429921019607</v>
      </c>
      <c r="J85" s="34">
        <f t="shared" si="48"/>
        <v>3.4480212825136918</v>
      </c>
      <c r="K85" s="34">
        <f t="shared" si="48"/>
        <v>3.3830840414530639</v>
      </c>
      <c r="L85" s="34">
        <f t="shared" si="48"/>
        <v>3.331352204598609</v>
      </c>
      <c r="M85" s="34">
        <f t="shared" si="48"/>
        <v>3.2889838291637967</v>
      </c>
      <c r="N85" s="34">
        <f t="shared" si="48"/>
        <v>3.2604477047256597</v>
      </c>
      <c r="O85" s="34">
        <f t="shared" si="48"/>
        <v>3.2435628547078119</v>
      </c>
      <c r="P85" s="34">
        <f t="shared" si="48"/>
        <v>3.2034901847776314</v>
      </c>
      <c r="Q85" s="34">
        <f t="shared" si="48"/>
        <v>3.1783757586888464</v>
      </c>
      <c r="R85" s="34">
        <f t="shared" si="48"/>
        <v>3.1706181847969654</v>
      </c>
      <c r="S85" s="34">
        <f t="shared" si="48"/>
        <v>3.1764783224700026</v>
      </c>
      <c r="T85" s="34">
        <f t="shared" si="48"/>
        <v>3.1957952006121011</v>
      </c>
      <c r="U85" s="34">
        <f t="shared" si="48"/>
        <v>3.2314691334909402</v>
      </c>
      <c r="V85" s="34">
        <f t="shared" si="48"/>
        <v>3.2854174616757099</v>
      </c>
      <c r="W85" s="34">
        <f t="shared" si="48"/>
        <v>3.3528635026383684</v>
      </c>
    </row>
    <row r="86" spans="2:23" x14ac:dyDescent="0.2">
      <c r="B86" s="105" t="s">
        <v>129</v>
      </c>
      <c r="C86" s="34"/>
      <c r="D86" s="254">
        <f>'Input data'!C68*$D$83</f>
        <v>1.4658670971213696</v>
      </c>
      <c r="E86" s="34">
        <f t="shared" ref="E86" si="49">IF(E83=0,0,IF(E79=1,(1-D90)*D83*E42/((1+E23/100)*(1+E41/100)),IF(AND(E79=0,E80=1),(D89*D83*E42/((1+E23/100)*(1+E41/100)))*(1-ABS(E83-D83*E42/((1+E23/100)*(1+E41/100)))/((E38*D83*D90*E42/((1+E23/100)*(1+E41/100)))+(D89*D83*E42/((1+E23/100)*(1+E41/100))))),0)))</f>
        <v>1.4091118341130224</v>
      </c>
      <c r="F86" s="34">
        <f t="shared" ref="F86" si="50">IF(F83=0,0,IF(F79=1,(1-E90)*E83*F42/((1+F23/100)*(1+F41/100)),IF(AND(F79=0,F80=1),(E89*E83*F42/((1+F23/100)*(1+F41/100)))*(1-ABS(F83-E83*F42/((1+F23/100)*(1+F41/100)))/((F38*E83*E90*F42/((1+F23/100)*(1+F41/100)))+(E89*E83*F42/((1+F23/100)*(1+F41/100))))),0)))</f>
        <v>1.4367993634475367</v>
      </c>
      <c r="G86" s="34">
        <f t="shared" ref="G86" si="51">IF(G83=0,0,IF(G79=1,(1-F90)*F83*G42/((1+G23/100)*(1+G41/100)),IF(AND(G79=0,G80=1),(F89*F83*G42/((1+G23/100)*(1+G41/100)))*(1-ABS(G83-F83*G42/((1+G23/100)*(1+G41/100)))/((G38*F83*F90*G42/((1+G23/100)*(1+G41/100)))+(F89*F83*G42/((1+G23/100)*(1+G41/100))))),0)))</f>
        <v>1.4322277404178712</v>
      </c>
      <c r="H86" s="34">
        <f t="shared" ref="H86:W86" si="52">IF(H83=0,0,IF(H79=1,(1-G90)*G83*H42/((1+H23/100)*(1+H41/100)),IF(AND(H79=0,H80=1),(G89*G83*H42/((1+H23/100)*(1+H41/100)))*(1-ABS(H83-G83*H42/((1+H23/100)*(1+H41/100)))/((H38*G83*G90*H42/((1+H23/100)*(1+H41/100)))+(G89*G83*H42/((1+H23/100)*(1+H41/100))))),0)))</f>
        <v>1.4249399105294891</v>
      </c>
      <c r="I86" s="34">
        <f t="shared" si="52"/>
        <v>1.4067770297502447</v>
      </c>
      <c r="J86" s="34">
        <f t="shared" si="52"/>
        <v>1.3827328426055638</v>
      </c>
      <c r="K86" s="34">
        <f t="shared" si="52"/>
        <v>1.3462529690250069</v>
      </c>
      <c r="L86" s="34">
        <f t="shared" si="52"/>
        <v>1.3167941241515098</v>
      </c>
      <c r="M86" s="34">
        <f t="shared" si="52"/>
        <v>1.292099370749624</v>
      </c>
      <c r="N86" s="34">
        <f t="shared" si="52"/>
        <v>1.2738015853986187</v>
      </c>
      <c r="O86" s="34">
        <f t="shared" si="52"/>
        <v>1.2612026429674827</v>
      </c>
      <c r="P86" s="34">
        <f t="shared" si="52"/>
        <v>1.2567226020283728</v>
      </c>
      <c r="Q86" s="34">
        <f t="shared" si="52"/>
        <v>1.2584896415985589</v>
      </c>
      <c r="R86" s="34">
        <f t="shared" si="52"/>
        <v>1.2677737827439657</v>
      </c>
      <c r="S86" s="34">
        <f t="shared" si="52"/>
        <v>1.2829804835926417</v>
      </c>
      <c r="T86" s="34">
        <f t="shared" si="52"/>
        <v>1.3039654541389383</v>
      </c>
      <c r="U86" s="34">
        <f t="shared" si="52"/>
        <v>1.3321930913289481</v>
      </c>
      <c r="V86" s="34">
        <f t="shared" si="52"/>
        <v>1.3686229581417395</v>
      </c>
      <c r="W86" s="34">
        <f t="shared" si="52"/>
        <v>1.4110514740772557</v>
      </c>
    </row>
    <row r="87" spans="2:23" x14ac:dyDescent="0.2">
      <c r="B87" s="105" t="s">
        <v>130</v>
      </c>
      <c r="C87" s="34"/>
      <c r="D87" s="254">
        <f>'Input data'!C69*$D$83</f>
        <v>4.2203872796227522</v>
      </c>
      <c r="E87" s="34">
        <f>IF(E83=0,0,IF(E79=1,'Input data'!$C$58*(E83-D83*E42/((1+E23/100)*(1+E41/100))),0))</f>
        <v>3.5859302377484346</v>
      </c>
      <c r="F87" s="34">
        <f>IF(F83=0,0,IF(F79=1,'Input data'!$C$58*(F83-E83*F42/((1+F23/100)*(1+F41/100))),0))</f>
        <v>2.525258615128005</v>
      </c>
      <c r="G87" s="34">
        <f>IF(G83=0,0,IF(G79=1,'Input data'!$C$58*(G83-F83*G42/((1+G23/100)*(1+G41/100))),0))</f>
        <v>2.0021189264187753</v>
      </c>
      <c r="H87" s="34">
        <f>IF(H83=0,0,IF(H79=1,'Input data'!$C$58*(H83-G83*H42/((1+H23/100)*(1+H41/100))),0))</f>
        <v>1.6280881052285947</v>
      </c>
      <c r="I87" s="34">
        <f>IF(I83=0,0,IF(I79=1,'Input data'!$C$58*(I83-H83*I42/((1+I23/100)*(1+I41/100))),0))</f>
        <v>1.4127314847503287</v>
      </c>
      <c r="J87" s="34">
        <f>IF(J83=0,0,IF(J79=1,'Input data'!$C$58*(J83-I83*J42/((1+J23/100)*(1+J41/100))),0))</f>
        <v>1.1249139763202334</v>
      </c>
      <c r="K87" s="34">
        <f>IF(K83=0,0,IF(K79=1,'Input data'!$C$58*(K83-J83*K42/((1+K23/100)*(1+K41/100))),0))</f>
        <v>1.2795971314400549</v>
      </c>
      <c r="L87" s="34">
        <f>IF(L83=0,0,IF(L79=1,'Input data'!$C$58*(L83-K83*L42/((1+L23/100)*(1+L41/100))),0))</f>
        <v>1.3611400329955206</v>
      </c>
      <c r="M87" s="34">
        <f>IF(M83=0,0,IF(M79=1,'Input data'!$C$58*(M83-L83*M42/((1+M23/100)*(1+M41/100))),0))</f>
        <v>1.451877156256127</v>
      </c>
      <c r="N87" s="34">
        <f>IF(N83=0,0,IF(N79=1,'Input data'!$C$58*(N83-M83*N42/((1+N23/100)*(1+N41/100))),0))</f>
        <v>1.6001530109931996</v>
      </c>
      <c r="O87" s="34">
        <f>IF(O83=0,0,IF(O79=1,'Input data'!$C$58*(O83-N83*O42/((1+O23/100)*(1+O41/100))),0))</f>
        <v>1.7973442858065902</v>
      </c>
      <c r="P87" s="34">
        <f>IF(P83=0,0,IF(P79=1,'Input data'!$C$58*(P83-O83*P42/((1+P23/100)*(1+P41/100))),0))</f>
        <v>1.9433090632144934</v>
      </c>
      <c r="Q87" s="34">
        <f>IF(Q83=0,0,IF(Q79=1,'Input data'!$C$58*(Q83-P83*Q42/((1+Q23/100)*(1+Q41/100))),0))</f>
        <v>2.1414492217000283</v>
      </c>
      <c r="R87" s="34">
        <f>IF(R83=0,0,IF(R79=1,'Input data'!$C$58*(R83-Q83*R42/((1+R23/100)*(1+R41/100))),0))</f>
        <v>2.321018414970192</v>
      </c>
      <c r="S87" s="34">
        <f>IF(S83=0,0,IF(S79=1,'Input data'!$C$58*(S83-R83*S42/((1+S23/100)*(1+S41/100))),0))</f>
        <v>2.4838798158452158</v>
      </c>
      <c r="T87" s="34">
        <f>IF(T83=0,0,IF(T79=1,'Input data'!$C$58*(T83-S83*T42/((1+T23/100)*(1+T41/100))),0))</f>
        <v>2.697670111620055</v>
      </c>
      <c r="U87" s="34">
        <f>IF(U83=0,0,IF(U79=1,'Input data'!$C$58*(U83-T83*U42/((1+U23/100)*(1+U41/100))),0))</f>
        <v>2.9423188208364182</v>
      </c>
      <c r="V87" s="34">
        <f>IF(V83=0,0,IF(V79=1,'Input data'!$C$58*(V83-U83*V42/((1+V23/100)*(1+V41/100))),0))</f>
        <v>3.136656716229977</v>
      </c>
      <c r="W87" s="34">
        <f>IF(W83=0,0,IF(W79=1,'Input data'!$C$58*(W83-V83*W42/((1+W23/100)*(1+W41/100))),0))</f>
        <v>3.3369015431214315</v>
      </c>
    </row>
    <row r="88" spans="2:23" x14ac:dyDescent="0.2">
      <c r="B88" s="107" t="s">
        <v>131</v>
      </c>
      <c r="C88" s="49"/>
      <c r="D88" s="255">
        <f>'Input data'!C70*$D$83</f>
        <v>9.275580614555777E-2</v>
      </c>
      <c r="E88" s="49">
        <f>IF(E83=0,0,IF(E79=1,'Input data'!$C$57*(E83-D83*E42/((1+E23/100)*(1+E41/100))),0))</f>
        <v>0.1099570828526675</v>
      </c>
      <c r="F88" s="49">
        <f>IF(F83=0,0,IF(F79=1,'Input data'!$C$57*(F83-E83*F42/((1+F23/100)*(1+F41/100))),0))</f>
        <v>7.7433204875281783E-2</v>
      </c>
      <c r="G88" s="49">
        <f>IF(G83=0,0,IF(G79=1,'Input data'!$C$57*(G83-F83*G42/((1+G23/100)*(1+G41/100))),0))</f>
        <v>6.1391924013377043E-2</v>
      </c>
      <c r="H88" s="49">
        <f>IF(H83=0,0,IF(H79=1,'Input data'!$C$57*(H83-G83*H42/((1+H23/100)*(1+H41/100))),0))</f>
        <v>4.9922839210187087E-2</v>
      </c>
      <c r="I88" s="49">
        <f>IF(I83=0,0,IF(I79=1,'Input data'!$C$57*(I83-H83*I42/((1+I23/100)*(1+I41/100))),0))</f>
        <v>4.3319256822687106E-2</v>
      </c>
      <c r="J88" s="49">
        <f>IF(J83=0,0,IF(J79=1,'Input data'!$C$57*(J83-I83*J42/((1+J23/100)*(1+J41/100))),0))</f>
        <v>3.4493771795748189E-2</v>
      </c>
      <c r="K88" s="49">
        <f>IF(K83=0,0,IF(K79=1,'Input data'!$C$57*(K83-J83*K42/((1+K23/100)*(1+K41/100))),0))</f>
        <v>3.923689488397137E-2</v>
      </c>
      <c r="L88" s="49">
        <f>IF(L83=0,0,IF(L79=1,'Input data'!$C$57*(L83-K83*L42/((1+L23/100)*(1+L41/100))),0))</f>
        <v>4.1737283622155806E-2</v>
      </c>
      <c r="M88" s="49">
        <f>IF(M83=0,0,IF(M79=1,'Input data'!$C$57*(M83-L83*M42/((1+M23/100)*(1+M41/100))),0))</f>
        <v>4.4519599149421558E-2</v>
      </c>
      <c r="N88" s="49">
        <f>IF(N83=0,0,IF(N79=1,'Input data'!$C$57*(N83-M83*N42/((1+N23/100)*(1+N41/100))),0))</f>
        <v>4.9066252141369178E-2</v>
      </c>
      <c r="O88" s="49">
        <f>IF(O83=0,0,IF(O79=1,'Input data'!$C$57*(O83-N83*O42/((1+O23/100)*(1+O41/100))),0))</f>
        <v>5.5112821902886168E-2</v>
      </c>
      <c r="P88" s="49">
        <f>IF(P83=0,0,IF(P79=1,'Input data'!$C$57*(P83-O83*P42/((1+P23/100)*(1+P41/100))),0))</f>
        <v>5.9588609232505141E-2</v>
      </c>
      <c r="Q88" s="49">
        <f>IF(Q83=0,0,IF(Q79=1,'Input data'!$C$57*(Q83-P83*Q42/((1+Q23/100)*(1+Q41/100))),0))</f>
        <v>6.5664275064954342E-2</v>
      </c>
      <c r="R88" s="49">
        <f>IF(R83=0,0,IF(R79=1,'Input data'!$C$57*(R83-Q83*R42/((1+R23/100)*(1+R41/100))),0))</f>
        <v>7.1170490566400263E-2</v>
      </c>
      <c r="S88" s="49">
        <f>IF(S83=0,0,IF(S79=1,'Input data'!$C$57*(S83-R83*S42/((1+S23/100)*(1+S41/100))),0))</f>
        <v>7.6164387090377414E-2</v>
      </c>
      <c r="T88" s="49">
        <f>IF(T83=0,0,IF(T79=1,'Input data'!$C$57*(T83-S83*T42/((1+T23/100)*(1+T41/100))),0))</f>
        <v>8.2719940519205559E-2</v>
      </c>
      <c r="U88" s="49">
        <f>IF(U83=0,0,IF(U79=1,'Input data'!$C$57*(U83-T83*U42/((1+U23/100)*(1+U41/100))),0))</f>
        <v>9.0221720142780321E-2</v>
      </c>
      <c r="V88" s="49">
        <f>IF(V83=0,0,IF(V79=1,'Input data'!$C$57*(V83-U83*V42/((1+V23/100)*(1+V41/100))),0))</f>
        <v>9.6180795375270023E-2</v>
      </c>
      <c r="W88" s="49">
        <f>IF(W83=0,0,IF(W79=1,'Input data'!$C$57*(W83-V83*W42/((1+W23/100)*(1+W41/100))),0))</f>
        <v>0.10232099765515229</v>
      </c>
    </row>
    <row r="89" spans="2:23" x14ac:dyDescent="0.2">
      <c r="B89" s="26" t="s">
        <v>73</v>
      </c>
      <c r="C89" s="36"/>
      <c r="D89" s="260">
        <f>'Baseline NFPC'!$D$93</f>
        <v>2.1505382130210027E-2</v>
      </c>
      <c r="E89" s="36">
        <f t="shared" ref="E89:G89" si="53">IF(E83&lt;&gt;0,(E86+E88)/(E84+E85+E86+E87+E88),0)</f>
        <v>2.1945656661284028E-2</v>
      </c>
      <c r="F89" s="36">
        <f t="shared" si="53"/>
        <v>2.2244090424656682E-2</v>
      </c>
      <c r="G89" s="36">
        <f t="shared" si="53"/>
        <v>2.2477211707976161E-2</v>
      </c>
      <c r="H89" s="36">
        <f t="shared" ref="H89" si="54">IF(H83&lt;&gt;0,(H86+H88)/(H84+H85+H86+H87+H88),0)</f>
        <v>2.2664783424751783E-2</v>
      </c>
      <c r="I89" s="36">
        <f t="shared" ref="I89:W89" si="55">IF(I83&lt;&gt;0,(I86+I88)/(I84+I85+I86+I87+I88),0)</f>
        <v>2.2827210789165626E-2</v>
      </c>
      <c r="J89" s="36">
        <f t="shared" si="55"/>
        <v>2.2957249644597125E-2</v>
      </c>
      <c r="K89" s="36">
        <f t="shared" si="55"/>
        <v>2.3106682729096495E-2</v>
      </c>
      <c r="L89" s="36">
        <f t="shared" si="55"/>
        <v>2.3266322534128137E-2</v>
      </c>
      <c r="M89" s="36">
        <f t="shared" si="55"/>
        <v>2.3436473009308723E-2</v>
      </c>
      <c r="N89" s="36">
        <f t="shared" si="55"/>
        <v>2.3622442335572019E-2</v>
      </c>
      <c r="O89" s="36">
        <f t="shared" si="55"/>
        <v>2.3827959204394303E-2</v>
      </c>
      <c r="P89" s="36">
        <f t="shared" si="55"/>
        <v>2.404466891451584E-2</v>
      </c>
      <c r="Q89" s="36">
        <f t="shared" si="55"/>
        <v>2.4275570990878275E-2</v>
      </c>
      <c r="R89" s="36">
        <f t="shared" si="55"/>
        <v>2.4515402373520102E-2</v>
      </c>
      <c r="S89" s="36">
        <f t="shared" si="55"/>
        <v>2.475958111926152E-2</v>
      </c>
      <c r="T89" s="36">
        <f t="shared" si="55"/>
        <v>2.500989275184554E-2</v>
      </c>
      <c r="U89" s="36">
        <f t="shared" si="55"/>
        <v>2.5265281993806159E-2</v>
      </c>
      <c r="V89" s="36">
        <f t="shared" si="55"/>
        <v>2.5517921380796373E-2</v>
      </c>
      <c r="W89" s="36">
        <f t="shared" si="55"/>
        <v>2.5765797616897887E-2</v>
      </c>
    </row>
    <row r="90" spans="2:23" x14ac:dyDescent="0.2">
      <c r="B90" s="35" t="s">
        <v>74</v>
      </c>
      <c r="C90" s="108"/>
      <c r="D90" s="261">
        <f>'Baseline NFPC'!$D$94</f>
        <v>0.97849461786978997</v>
      </c>
      <c r="E90" s="108">
        <f t="shared" ref="E90:G90" si="56">IF(E83&lt;&gt;0,(E84+E85+E87)/(E84+E85+E86+E87+E88),1)</f>
        <v>0.97805434333871588</v>
      </c>
      <c r="F90" s="108">
        <f t="shared" si="56"/>
        <v>0.97775590957534342</v>
      </c>
      <c r="G90" s="108">
        <f t="shared" si="56"/>
        <v>0.97752278829202377</v>
      </c>
      <c r="H90" s="108">
        <f t="shared" ref="H90" si="57">IF(H83&lt;&gt;0,(H84+H85+H87)/(H84+H85+H86+H87+H88),1)</f>
        <v>0.97733521657524813</v>
      </c>
      <c r="I90" s="108">
        <f t="shared" ref="I90:W90" si="58">IF(I83&lt;&gt;0,(I84+I85+I87)/(I84+I85+I86+I87+I88),1)</f>
        <v>0.97717278921083439</v>
      </c>
      <c r="J90" s="108">
        <f t="shared" si="58"/>
        <v>0.97704275035540289</v>
      </c>
      <c r="K90" s="108">
        <f t="shared" si="58"/>
        <v>0.97689331727090345</v>
      </c>
      <c r="L90" s="108">
        <f t="shared" si="58"/>
        <v>0.97673367746587192</v>
      </c>
      <c r="M90" s="108">
        <f t="shared" si="58"/>
        <v>0.97656352699069116</v>
      </c>
      <c r="N90" s="108">
        <f t="shared" si="58"/>
        <v>0.97637755766442802</v>
      </c>
      <c r="O90" s="108">
        <f t="shared" si="58"/>
        <v>0.97617204079560571</v>
      </c>
      <c r="P90" s="108">
        <f t="shared" si="58"/>
        <v>0.97595533108548405</v>
      </c>
      <c r="Q90" s="108">
        <f t="shared" si="58"/>
        <v>0.97572442900912171</v>
      </c>
      <c r="R90" s="108">
        <f t="shared" si="58"/>
        <v>0.97548459762647988</v>
      </c>
      <c r="S90" s="108">
        <f t="shared" si="58"/>
        <v>0.97524041888073854</v>
      </c>
      <c r="T90" s="108">
        <f t="shared" si="58"/>
        <v>0.97499010724815449</v>
      </c>
      <c r="U90" s="108">
        <f t="shared" si="58"/>
        <v>0.97473471800619393</v>
      </c>
      <c r="V90" s="108">
        <f t="shared" si="58"/>
        <v>0.97448207861920366</v>
      </c>
      <c r="W90" s="108">
        <f t="shared" si="58"/>
        <v>0.9742342023831021</v>
      </c>
    </row>
    <row r="92" spans="2:23" x14ac:dyDescent="0.2">
      <c r="B92" s="113" t="s">
        <v>132</v>
      </c>
      <c r="C92" s="113"/>
      <c r="D92" s="113"/>
      <c r="E92" s="115">
        <f t="shared" ref="E92:G92" si="59">E94+E95</f>
        <v>1.8992170000000002</v>
      </c>
      <c r="F92" s="115">
        <f t="shared" si="59"/>
        <v>2.1593610000000001</v>
      </c>
      <c r="G92" s="115">
        <f t="shared" si="59"/>
        <v>2.1774469999999999</v>
      </c>
      <c r="H92" s="115">
        <f t="shared" ref="H92:W92" si="60">H94+H95</f>
        <v>2.2733169841339604</v>
      </c>
      <c r="I92" s="115">
        <f t="shared" si="60"/>
        <v>2.3607475558071473</v>
      </c>
      <c r="J92" s="115">
        <f>J94+J95</f>
        <v>2.4431415909904963</v>
      </c>
      <c r="K92" s="115">
        <f t="shared" si="60"/>
        <v>2.6168595773668457</v>
      </c>
      <c r="L92" s="115">
        <f t="shared" si="60"/>
        <v>2.666396204665487</v>
      </c>
      <c r="M92" s="115">
        <f t="shared" si="60"/>
        <v>2.7394782937024562</v>
      </c>
      <c r="N92" s="115">
        <f t="shared" si="60"/>
        <v>2.8131193999433441</v>
      </c>
      <c r="O92" s="115">
        <f t="shared" si="60"/>
        <v>2.8879195251217631</v>
      </c>
      <c r="P92" s="115">
        <f t="shared" si="60"/>
        <v>2.9603983256501789</v>
      </c>
      <c r="Q92" s="115">
        <f t="shared" si="60"/>
        <v>3.0295036407685942</v>
      </c>
      <c r="R92" s="115">
        <f t="shared" si="60"/>
        <v>3.0957501692619491</v>
      </c>
      <c r="S92" s="115">
        <f t="shared" si="60"/>
        <v>3.1587238527644321</v>
      </c>
      <c r="T92" s="115">
        <f t="shared" si="60"/>
        <v>3.2181810724681013</v>
      </c>
      <c r="U92" s="115">
        <f t="shared" si="60"/>
        <v>3.2745724117132853</v>
      </c>
      <c r="V92" s="115">
        <f t="shared" si="60"/>
        <v>3.3280380023729665</v>
      </c>
      <c r="W92" s="115">
        <f t="shared" si="60"/>
        <v>3.3781019189789858</v>
      </c>
    </row>
    <row r="93" spans="2:23" x14ac:dyDescent="0.2">
      <c r="B93" s="33" t="s">
        <v>133</v>
      </c>
      <c r="C93" s="97"/>
      <c r="D93" s="97"/>
      <c r="E93" s="266">
        <f>((E35*D83)-(E37*(D86+D88)))/(D84+D85+D87)</f>
        <v>1.8655734180047423</v>
      </c>
      <c r="F93" s="266">
        <f t="shared" ref="F93:G93" si="61">((F35*E83)-(F37*(E86+E88)))/(E84+E85+E87)</f>
        <v>2.1278389377203197</v>
      </c>
      <c r="G93" s="266">
        <f t="shared" si="61"/>
        <v>2.1629112942398399</v>
      </c>
      <c r="H93" s="34">
        <f t="shared" ref="H93:W93" si="62">IF(G83&gt;0,(G93*G84+H36*(G87+G85))/(G84+G85+G87),H36)</f>
        <v>2.2610893811019768</v>
      </c>
      <c r="I93" s="34">
        <f t="shared" si="62"/>
        <v>2.3507048143959435</v>
      </c>
      <c r="J93" s="34">
        <f t="shared" si="62"/>
        <v>2.4352135973293261</v>
      </c>
      <c r="K93" s="34">
        <f t="shared" si="62"/>
        <v>2.5897356594438965</v>
      </c>
      <c r="L93" s="34">
        <f t="shared" si="62"/>
        <v>2.664183429104126</v>
      </c>
      <c r="M93" s="34">
        <f t="shared" si="62"/>
        <v>2.7392595507349875</v>
      </c>
      <c r="N93" s="34">
        <f t="shared" si="62"/>
        <v>2.8149371689752813</v>
      </c>
      <c r="O93" s="34">
        <f t="shared" si="62"/>
        <v>2.8918348226369233</v>
      </c>
      <c r="P93" s="34">
        <f t="shared" si="62"/>
        <v>2.9670038737506172</v>
      </c>
      <c r="Q93" s="34">
        <f t="shared" si="62"/>
        <v>3.038767732693362</v>
      </c>
      <c r="R93" s="34">
        <f t="shared" si="62"/>
        <v>3.107656860062272</v>
      </c>
      <c r="S93" s="34">
        <f t="shared" si="62"/>
        <v>3.1732461432416712</v>
      </c>
      <c r="T93" s="34">
        <f t="shared" si="62"/>
        <v>3.2352828963544629</v>
      </c>
      <c r="U93" s="34">
        <f t="shared" si="62"/>
        <v>3.2942293457264644</v>
      </c>
      <c r="V93" s="34">
        <f t="shared" si="62"/>
        <v>3.3502277219315477</v>
      </c>
      <c r="W93" s="34">
        <f t="shared" si="62"/>
        <v>3.4027809894613057</v>
      </c>
    </row>
    <row r="94" spans="2:23" x14ac:dyDescent="0.2">
      <c r="B94" s="26" t="s">
        <v>134</v>
      </c>
      <c r="C94" s="97"/>
      <c r="D94" s="97"/>
      <c r="E94" s="34">
        <f t="shared" ref="E94" si="63">(E93*(D84+D85+D87)+E37*(D86+D88))/D83</f>
        <v>1.8992170000000002</v>
      </c>
      <c r="F94" s="34">
        <f t="shared" ref="F94" si="64">(F93*(E84+E85+E87)+F37*(E86+E88))/E83</f>
        <v>2.1593610000000001</v>
      </c>
      <c r="G94" s="34">
        <f t="shared" ref="G94" si="65">(G93*(F84+F85+F87)+G37*(F86+F88))/F83</f>
        <v>2.1774469999999999</v>
      </c>
      <c r="H94" s="34">
        <f t="shared" ref="H94:W94" si="66">(H93*(G84+G85+G87)+H37*(G86+G88))/G83</f>
        <v>2.2733169841339604</v>
      </c>
      <c r="I94" s="34">
        <f t="shared" si="66"/>
        <v>2.3607475558071473</v>
      </c>
      <c r="J94" s="34">
        <f>(J93*(I84+I85+I87)+J37*(I86+I88))/I83</f>
        <v>2.4431415909904963</v>
      </c>
      <c r="K94" s="34">
        <f>(K93*(J84+J85+J87)+K37*(J86+J88))/J83</f>
        <v>2.6168595773668457</v>
      </c>
      <c r="L94" s="34">
        <f t="shared" si="66"/>
        <v>2.666396204665487</v>
      </c>
      <c r="M94" s="34">
        <f t="shared" si="66"/>
        <v>2.7394782937024562</v>
      </c>
      <c r="N94" s="34">
        <f t="shared" si="66"/>
        <v>2.8131193999433441</v>
      </c>
      <c r="O94" s="34">
        <f t="shared" si="66"/>
        <v>2.8879195251217631</v>
      </c>
      <c r="P94" s="34">
        <f t="shared" si="66"/>
        <v>2.9603983256501789</v>
      </c>
      <c r="Q94" s="34">
        <f t="shared" si="66"/>
        <v>3.0295036407685942</v>
      </c>
      <c r="R94" s="34">
        <f t="shared" si="66"/>
        <v>3.0957501692619491</v>
      </c>
      <c r="S94" s="34">
        <f t="shared" si="66"/>
        <v>3.1587238527644321</v>
      </c>
      <c r="T94" s="34">
        <f t="shared" si="66"/>
        <v>3.2181810724681013</v>
      </c>
      <c r="U94" s="97">
        <f t="shared" si="66"/>
        <v>3.2745724117132853</v>
      </c>
      <c r="V94" s="97">
        <f t="shared" si="66"/>
        <v>3.3280380023729665</v>
      </c>
      <c r="W94" s="97">
        <f t="shared" si="66"/>
        <v>3.3781019189789858</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-10.011406646168163</v>
      </c>
      <c r="D97" s="115">
        <f t="shared" si="67"/>
        <v>-8.3434999660608522</v>
      </c>
      <c r="E97" s="115">
        <f>((1+E92/100)/((1+E23/100)*(1+E41/100))-1)*100</f>
        <v>-7.87548814040675</v>
      </c>
      <c r="F97" s="115">
        <f t="shared" si="67"/>
        <v>-3.373363845497146</v>
      </c>
      <c r="G97" s="115">
        <f t="shared" si="67"/>
        <v>-3.3560781217598312</v>
      </c>
      <c r="H97" s="115">
        <f t="shared" si="67"/>
        <v>-2.4294238865562257</v>
      </c>
      <c r="I97" s="115">
        <f t="shared" si="67"/>
        <v>-2.3646448220424165</v>
      </c>
      <c r="J97" s="115">
        <f t="shared" si="67"/>
        <v>-2.3157995167858103</v>
      </c>
      <c r="K97" s="115">
        <f t="shared" si="67"/>
        <v>-2.5221157475854739</v>
      </c>
      <c r="L97" s="115">
        <f t="shared" si="67"/>
        <v>-2.4240373085864797</v>
      </c>
      <c r="M97" s="115">
        <f t="shared" si="67"/>
        <v>-2.2844709405833052</v>
      </c>
      <c r="N97" s="115">
        <f t="shared" si="67"/>
        <v>-2.018812061812747</v>
      </c>
      <c r="O97" s="115">
        <f t="shared" si="67"/>
        <v>-1.908178313703246</v>
      </c>
      <c r="P97" s="115">
        <f t="shared" si="67"/>
        <v>-1.7008740359731989</v>
      </c>
      <c r="Q97" s="115">
        <f t="shared" si="67"/>
        <v>-1.4962707893777627</v>
      </c>
      <c r="R97" s="115">
        <f t="shared" si="67"/>
        <v>-1.2938846971478735</v>
      </c>
      <c r="S97" s="115">
        <f t="shared" si="67"/>
        <v>-1.1529963915528518</v>
      </c>
      <c r="T97" s="115">
        <f t="shared" si="67"/>
        <v>-0.97233542887997793</v>
      </c>
      <c r="U97" s="115">
        <f>((1+U92/100)/((1+U23/100)*(1+U41/100))-1)*100</f>
        <v>-0.78378815639471577</v>
      </c>
      <c r="V97" s="115">
        <f t="shared" ref="V97:W97" si="68">((1+V92/100)/((1+V23/100)*(1+V41/100))-1)*100</f>
        <v>-0.57954691608534947</v>
      </c>
      <c r="W97" s="115">
        <f t="shared" si="68"/>
        <v>-0.41544968065213572</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74.36767578125</v>
      </c>
      <c r="D102" s="34">
        <v>72.4759521484375</v>
      </c>
      <c r="E102" s="34">
        <v>69.219566345214844</v>
      </c>
      <c r="F102" s="34">
        <v>68.073471069335938</v>
      </c>
      <c r="G102" s="34">
        <v>66.450393676757813</v>
      </c>
      <c r="H102" s="34">
        <v>65.072891235351563</v>
      </c>
      <c r="I102" s="34">
        <v>63.524909973144531</v>
      </c>
      <c r="J102" s="34">
        <v>61.733310699462891</v>
      </c>
      <c r="K102" s="34">
        <v>59.960575103759766</v>
      </c>
      <c r="L102" s="34">
        <v>58.390453338623047</v>
      </c>
      <c r="M102" s="34">
        <v>57.031551361083984</v>
      </c>
      <c r="N102" s="34">
        <v>56.000442504882813</v>
      </c>
      <c r="O102" s="34">
        <v>55.242427825927734</v>
      </c>
      <c r="P102" s="34">
        <v>54.744338989257813</v>
      </c>
      <c r="Q102" s="34">
        <v>54.546676635742188</v>
      </c>
      <c r="R102" s="34">
        <v>54.616336822509766</v>
      </c>
      <c r="S102" s="34">
        <v>54.893558502197266</v>
      </c>
      <c r="T102" s="34">
        <v>55.445320129394531</v>
      </c>
      <c r="U102" s="34">
        <v>56.299018859863281</v>
      </c>
      <c r="V102" s="34">
        <v>57.402751922607422</v>
      </c>
      <c r="W102" s="34">
        <v>58.735504150390625</v>
      </c>
      <c r="X102" s="34"/>
      <c r="Y102" s="34"/>
      <c r="Z102" s="34"/>
    </row>
    <row r="103" spans="1:54" s="5" customFormat="1" ht="12.75" x14ac:dyDescent="0.2">
      <c r="A103" s="26"/>
      <c r="B103" s="26" t="s">
        <v>132</v>
      </c>
      <c r="C103" s="1">
        <v>1.7379093170166016</v>
      </c>
      <c r="D103" s="1">
        <v>1.644842267036438</v>
      </c>
      <c r="E103" s="1">
        <v>1.899216890335083</v>
      </c>
      <c r="F103" s="1">
        <v>2.1593606472015381</v>
      </c>
      <c r="G103" s="1">
        <v>2.1774470806121826</v>
      </c>
      <c r="H103" s="1">
        <v>2.2733170986175537</v>
      </c>
      <c r="I103" s="1">
        <v>2.3607478141784668</v>
      </c>
      <c r="J103" s="1">
        <v>2.4431421756744385</v>
      </c>
      <c r="K103" s="1">
        <v>2.6168601512908936</v>
      </c>
      <c r="L103" s="1">
        <v>2.6663966178894043</v>
      </c>
      <c r="M103" s="1">
        <v>2.7394783496856689</v>
      </c>
      <c r="N103" s="1">
        <v>2.8131194114685059</v>
      </c>
      <c r="O103" s="1">
        <v>2.8879194259643555</v>
      </c>
      <c r="P103" s="1">
        <v>2.9603979587554932</v>
      </c>
      <c r="Q103" s="1">
        <v>3.0295031070709229</v>
      </c>
      <c r="R103" s="1">
        <v>3.0957493782043457</v>
      </c>
      <c r="S103" s="1">
        <v>3.1587228775024414</v>
      </c>
      <c r="T103" s="1">
        <v>3.2181801795959473</v>
      </c>
      <c r="U103" s="99">
        <v>3.274571418762207</v>
      </c>
      <c r="V103" s="99">
        <v>3.3280370235443115</v>
      </c>
      <c r="W103" s="99">
        <v>3.3781006336212158</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74.36767578125</v>
      </c>
      <c r="D107" s="34">
        <v>72.4759521484375</v>
      </c>
      <c r="E107" s="34">
        <v>69.219566345214844</v>
      </c>
      <c r="F107" s="34">
        <v>68.073471069335938</v>
      </c>
      <c r="G107" s="34">
        <v>66.48193359375</v>
      </c>
      <c r="H107" s="34">
        <v>65.303741455078125</v>
      </c>
      <c r="I107" s="34">
        <v>64.125503540039063</v>
      </c>
      <c r="J107" s="34">
        <v>62.873928070068359</v>
      </c>
      <c r="K107" s="34">
        <v>61.488330841064453</v>
      </c>
      <c r="L107" s="34">
        <v>59.970359802246094</v>
      </c>
      <c r="M107" s="34">
        <v>58.323776245117188</v>
      </c>
      <c r="N107" s="34">
        <v>56.799007415771484</v>
      </c>
      <c r="O107" s="34">
        <v>55.475414276123047</v>
      </c>
      <c r="P107" s="34">
        <v>54.353092193603516</v>
      </c>
      <c r="Q107" s="34">
        <v>53.615043640136719</v>
      </c>
      <c r="R107" s="34">
        <v>53.146999359130859</v>
      </c>
      <c r="S107" s="34">
        <v>52.888515472412109</v>
      </c>
      <c r="T107" s="34">
        <v>52.904800415039063</v>
      </c>
      <c r="U107" s="34">
        <v>53.221614837646484</v>
      </c>
      <c r="V107" s="34">
        <v>53.784999847412109</v>
      </c>
      <c r="W107" s="34">
        <v>54.573570251464844</v>
      </c>
      <c r="X107" s="34"/>
      <c r="Y107" s="34"/>
      <c r="Z107" s="34"/>
    </row>
    <row r="108" spans="1:54" x14ac:dyDescent="0.2">
      <c r="B108" s="26" t="s">
        <v>132</v>
      </c>
      <c r="C108" s="1">
        <v>1.7379093170166016</v>
      </c>
      <c r="D108" s="1">
        <v>1.644842267036438</v>
      </c>
      <c r="E108" s="1">
        <v>1.899216890335083</v>
      </c>
      <c r="F108" s="1">
        <v>2.1593606472015381</v>
      </c>
      <c r="G108" s="1">
        <v>2.1774470806121826</v>
      </c>
      <c r="H108" s="1">
        <v>2.2751572132110596</v>
      </c>
      <c r="I108" s="1">
        <v>2.3663482666015625</v>
      </c>
      <c r="J108" s="1">
        <v>2.4544417858123779</v>
      </c>
      <c r="K108" s="1">
        <v>2.5387897491455078</v>
      </c>
      <c r="L108" s="1">
        <v>2.6191058158874512</v>
      </c>
      <c r="M108" s="1">
        <v>2.6953029632568359</v>
      </c>
      <c r="N108" s="1">
        <v>2.8683831691741943</v>
      </c>
      <c r="O108" s="1">
        <v>2.9117836952209473</v>
      </c>
      <c r="P108" s="1">
        <v>2.9761734008789063</v>
      </c>
      <c r="Q108" s="1">
        <v>3.0373904705047607</v>
      </c>
      <c r="R108" s="1">
        <v>3.096867561340332</v>
      </c>
      <c r="S108" s="1">
        <v>3.1541867256164551</v>
      </c>
      <c r="T108" s="1">
        <v>3.2090487480163574</v>
      </c>
      <c r="U108" s="1">
        <v>3.2618622779846191</v>
      </c>
      <c r="V108" s="1">
        <v>3.312708854675293</v>
      </c>
      <c r="W108" s="1">
        <v>3.3609721660614014</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SI</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-4.6923700000000004</v>
      </c>
      <c r="D12" s="2">
        <f>'Adjustment scenario'!D12</f>
        <v>-3.2634059999999998</v>
      </c>
      <c r="E12" s="2">
        <f>'Adjustment scenario'!E12</f>
        <v>-1.555059</v>
      </c>
      <c r="F12" s="2">
        <f>'Adjust. no safeguard'!F12</f>
        <v>-1.244675</v>
      </c>
      <c r="G12" s="3">
        <f>'Adjust. no safeguard'!G12</f>
        <v>-0.80467500000000003</v>
      </c>
      <c r="H12" s="3">
        <f>'Adjust. no safeguard'!H12</f>
        <v>-0.36467500000000003</v>
      </c>
      <c r="I12" s="3">
        <f>'Adjust. no safeguard'!I12</f>
        <v>7.5324999999999975E-2</v>
      </c>
      <c r="J12" s="3">
        <f>'Adjust. no safeguard'!J12</f>
        <v>0.51532500000000003</v>
      </c>
      <c r="K12" s="3">
        <f>IF(AND('Criteria results'!$F$5=4,'Criteria results'!$F$5=4),'Adjust. no safeguard'!K12-0.25,IF(AND('Criteria results'!$F$5=4,'Criteria results'!$F$5=7),'Adjust. no safeguard'!K12-0.5/3,IF(AND('Criteria results'!$F$5=7,'Criteria results'!$F$5=7),'Adjust. no safeguard'!K12,'Adjust. no safeguard'!K12)))</f>
        <v>0.26532500000000003</v>
      </c>
      <c r="L12" s="3">
        <f>IF(AND('Criteria results'!$F$5=4,'Criteria results'!$F$5=4),'Adjust. no safeguard'!L12-0.5,IF(AND('Criteria results'!$F$5=4,'Criteria results'!$F$5=7),'Adjust. no safeguard'!L12-0.5*2/3,IF(AND('Criteria results'!$F$5=7,'Criteria results'!$F$5=7),'Adjust. no safeguard'!L12,'Adjust. no safeguard'!L12)))</f>
        <v>1.5325000000000033E-2</v>
      </c>
      <c r="M12" s="3">
        <f>IF('Criteria results'!$F$5=4,'Adjust. no safeguard'!M12-0.5,'Adjust. no safeguard'!M12)</f>
        <v>1.5325000000000033E-2</v>
      </c>
      <c r="N12" s="3">
        <f>IF('Criteria results'!$F$5=4,'Adjust. no safeguard'!N12-0.5,IF(AND('Criteria results'!$F$5=7,'Criteria results'!$F$5=7),'Adjust. no safeguard'!N12-0.25,'Adjust. no safeguard'!N12-1/3*0.5))</f>
        <v>1.5325000000000033E-2</v>
      </c>
      <c r="O12" s="3">
        <f>IF('Criteria results'!$F$5=4,'Adjust. no safeguard'!N12-0.5,IF(AND('Criteria results'!$F$5=7,'Criteria results'!$F$5=7),'Adjust. no safeguard'!O12-0.5,'Adjust. no safeguard'!O12-2/3*0.5))</f>
        <v>1.5325000000000033E-2</v>
      </c>
      <c r="P12" s="3">
        <f>'Adjust. no safeguard'!P12-0.5</f>
        <v>1.5325000000000033E-2</v>
      </c>
      <c r="Q12" s="3">
        <f>'Adjust. no safeguard'!Q12-0.5</f>
        <v>1.5325000000000033E-2</v>
      </c>
      <c r="R12" s="3">
        <f>'Adjust. no safeguard'!R12-0.5</f>
        <v>1.5325000000000033E-2</v>
      </c>
      <c r="S12" s="3">
        <f>'Adjust. no safeguard'!S12-0.5</f>
        <v>1.5325000000000033E-2</v>
      </c>
      <c r="T12" s="3">
        <f>'Adjust. no safeguard'!T12-0.5</f>
        <v>1.5325000000000033E-2</v>
      </c>
      <c r="U12" s="3">
        <f>'Adjust. no safeguard'!U12-0.5</f>
        <v>1.5325000000000033E-2</v>
      </c>
      <c r="V12" s="3">
        <f>'Adjust. no safeguard'!V12-0.5</f>
        <v>1.5325000000000033E-2</v>
      </c>
      <c r="W12" s="3">
        <f>'Adjust. no safeguard'!W12-0.5</f>
        <v>1.5325000000000033E-2</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2">
        <f>'Input data'!D14</f>
        <v>0</v>
      </c>
      <c r="E13" s="2">
        <f>'Input data'!E14</f>
        <v>-0.40577220000000003</v>
      </c>
      <c r="F13" s="2">
        <f>'Input data'!F14</f>
        <v>-0.65215420000000002</v>
      </c>
      <c r="G13" s="2">
        <f>'Input data'!G14</f>
        <v>-0.47665220000000003</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-1.7974220000000001</v>
      </c>
      <c r="D14" s="2">
        <f>'Input data'!D15</f>
        <v>1.3303780000000001</v>
      </c>
      <c r="E14" s="2">
        <f>'Input data'!E15</f>
        <v>1.2366839999999999</v>
      </c>
      <c r="F14" s="2">
        <f>'Input data'!F15</f>
        <v>-0.20000760000000001</v>
      </c>
      <c r="G14" s="2">
        <f>'Input data'!G15</f>
        <v>-0.2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22.025169999999999</v>
      </c>
      <c r="E17" s="101">
        <f>'Input data'!E20</f>
        <v>22.097189999999998</v>
      </c>
      <c r="F17" s="101">
        <f>'Input data'!F20</f>
        <v>22.199599999999997</v>
      </c>
      <c r="G17" s="101">
        <f>'Input data'!G20</f>
        <v>22.362199999999998</v>
      </c>
      <c r="H17" s="101">
        <f>'Input data'!H20</f>
        <v>22.526659999999996</v>
      </c>
      <c r="I17" s="101">
        <f>'Input data'!I20</f>
        <v>22.697230000000001</v>
      </c>
      <c r="J17" s="101">
        <f>'Input data'!J20</f>
        <v>22.903919999999999</v>
      </c>
      <c r="K17" s="101">
        <f>'Input data'!K20</f>
        <v>23.074540000000002</v>
      </c>
      <c r="L17" s="101">
        <f>'Input data'!L20</f>
        <v>23.2395</v>
      </c>
      <c r="M17" s="101">
        <f>'Input data'!M20</f>
        <v>23.397020000000001</v>
      </c>
      <c r="N17" s="101">
        <f>'Input data'!N20</f>
        <v>23.54317</v>
      </c>
      <c r="O17" s="101">
        <f>'Input data'!O20</f>
        <v>23.73443</v>
      </c>
      <c r="P17" s="101">
        <f>'Input data'!P20</f>
        <v>23.866290000000003</v>
      </c>
      <c r="Q17" s="101">
        <f>'Input data'!Q20</f>
        <v>24.047149999999998</v>
      </c>
      <c r="R17" s="101">
        <f>'Input data'!R20</f>
        <v>24.20204</v>
      </c>
      <c r="S17" s="101">
        <f>'Input data'!S20</f>
        <v>24.33447</v>
      </c>
      <c r="T17" s="101">
        <f>'Input data'!T20</f>
        <v>24.513950000000001</v>
      </c>
      <c r="U17" s="101">
        <f>'Input data'!U20</f>
        <v>24.71762</v>
      </c>
      <c r="V17" s="101">
        <f>'Input data'!V20</f>
        <v>24.860289999999999</v>
      </c>
      <c r="W17" s="101">
        <f>'Input data'!W20</f>
        <v>25.002420000000001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0.60368690000000003</v>
      </c>
      <c r="D18" s="101">
        <f>'Input data'!D26</f>
        <v>0.70882940000000005</v>
      </c>
      <c r="E18" s="101">
        <f>'Input data'!E26</f>
        <v>0.70974680000000001</v>
      </c>
      <c r="F18" s="101">
        <f>'Input data'!F26</f>
        <v>0.71066430000000003</v>
      </c>
      <c r="G18" s="101">
        <f>'Input data'!G26</f>
        <v>0.71158169999999998</v>
      </c>
      <c r="H18" s="101">
        <f>'Input data'!H26</f>
        <v>0.71249910000000005</v>
      </c>
      <c r="I18" s="101">
        <f>'Input data'!I26</f>
        <v>0.71341659999999996</v>
      </c>
      <c r="J18" s="101">
        <f>'Input data'!J26</f>
        <v>0.71433409999999997</v>
      </c>
      <c r="K18" s="101">
        <f>'Input data'!K26</f>
        <v>0.71525159999999999</v>
      </c>
      <c r="L18" s="101">
        <f>'Input data'!L26</f>
        <v>0.71616900000000006</v>
      </c>
      <c r="M18" s="101">
        <f>'Input data'!M26</f>
        <v>0.71708649999999996</v>
      </c>
      <c r="N18" s="101">
        <f>'Input data'!N26</f>
        <v>0.71800399999999998</v>
      </c>
      <c r="O18" s="101">
        <f>'Input data'!O26</f>
        <v>0.71892140000000004</v>
      </c>
      <c r="P18" s="101">
        <f>'Input data'!P26</f>
        <v>0.71983889999999995</v>
      </c>
      <c r="Q18" s="101">
        <f>'Input data'!Q26</f>
        <v>0.72075639999999996</v>
      </c>
      <c r="R18" s="101">
        <f>'Input data'!R26</f>
        <v>0.72167380000000003</v>
      </c>
      <c r="S18" s="101">
        <f>'Input data'!S26</f>
        <v>0.72259130000000005</v>
      </c>
      <c r="T18" s="101">
        <f>'Input data'!T26</f>
        <v>0.7235087</v>
      </c>
      <c r="U18" s="101">
        <f>'Input data'!U26</f>
        <v>0.72442620000000002</v>
      </c>
      <c r="V18" s="101">
        <f>'Input data'!V26</f>
        <v>0.72534370000000004</v>
      </c>
      <c r="W18" s="101">
        <f>'Input data'!W26</f>
        <v>0.72626109999999999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47.094990000000003</v>
      </c>
      <c r="D22" s="100">
        <f>IF(AND(D49&gt;1,C49&gt;1),IF(AND(D49&gt;0,C49&gt;0),D26*(D50/100+1),0)+IF(D49&gt;0,C22*(1+D51/100),0)-C22*(1+'Input data'!D30/100),IF(D49=1,D26,C22*(1+D51/100)))</f>
        <v>48.253899746320805</v>
      </c>
      <c r="E22" s="100">
        <f>IF(AND(E49&gt;1,D49&gt;1),IF(AND(E49&gt;0,D49&gt;0),E26*(E50/100+1),0)+IF(E49&gt;0,D22*(1+E51/100),0)-D22*(1+'Input data'!E30/100),IF(E49=1,E26,D22*(1+E51/100)))</f>
        <v>49.019639433778181</v>
      </c>
      <c r="F22" s="100">
        <f>IF(AND(F49&gt;1,E49&gt;1),IF(AND(F49&gt;0,E49&gt;0),F26*(F50/100+1),0)+IF(F49&gt;0,E22*(1+F51/100),0)-E22*(1+'Input data'!F30/100),IF(F49=1,F26,E22*(1+F51/100)))</f>
        <v>50.16839360546382</v>
      </c>
      <c r="G22" s="34">
        <f>IF(AND(G49&gt;1,F49&gt;1),IF(AND(G49&gt;0,F49&gt;0),G26*(G50/100+1),0)+IF(G49&gt;0,F22*(1+G51/100),0)-F22*(1+'Input data'!G30/100),IF(G49=1,G26,F22*(1+G51/100)))</f>
        <v>51.515407448511489</v>
      </c>
      <c r="H22" s="34">
        <f>IF(AND(H49&gt;1,G49&gt;1),IF(AND(H49&gt;0,G49&gt;0),H26*(H50/100+1),0)+IF(H49&gt;0,G22*(1+H51/100),0)-G22*(1+'Input data'!H30/100),IF(H49=1,H26,G22*(1+H51/100)))</f>
        <v>52.471552047126728</v>
      </c>
      <c r="I22" s="34">
        <f>IF(AND(I49&gt;1,H49&gt;1),IF(AND(I49&gt;0,H49&gt;0),I26*(I50/100+1),0)+IF(I49&gt;0,H22*(1+I51/100),0)-H22*(1+'Input data'!I30/100),IF(I49=1,I26,H22*(1+I51/100)))</f>
        <v>53.482353824798402</v>
      </c>
      <c r="J22" s="34">
        <f>IF(AND(J49&gt;1,I49&gt;1),IF(AND(J49&gt;0,I49&gt;0),J26*(J50/100+1),0)+IF(J49&gt;0,I22*(1+J51/100),0)-I22*(1+'Input data'!J30/100),IF(J49=1,J26,I22*(1+J51/100)))</f>
        <v>54.556488884333646</v>
      </c>
      <c r="K22" s="34">
        <f>IF(AND(K49&gt;1,J49&gt;1),IF(AND(K49&gt;0,J49&gt;0),K26*(K50/100+1),0)+IF(K49&gt;0,J22*(1+K51/100),0)-J22*(1+'Input data'!K30/100),IF(K49=1,K26,J22*(1+K51/100)))</f>
        <v>55.994796230952559</v>
      </c>
      <c r="L22" s="34">
        <f>IF(AND(L49&gt;1,K49&gt;1),IF(AND(L49&gt;0,K49&gt;0),L26*(L50/100+1),0)+IF(L49&gt;0,K22*(1+L51/100),0)-K22*(1+'Input data'!L30/100),IF(L49=1,L26,K22*(1+L51/100)))</f>
        <v>57.40816834971934</v>
      </c>
      <c r="M22" s="34">
        <f>IF(AND(M49&gt;1,L49&gt;1),IF(AND(M49&gt;0,L49&gt;0),M26*(M50/100+1),0)+IF(M49&gt;0,L22*(1+M51/100),0)-L22*(1+'Input data'!M30/100),IF(M49=1,M26,L22*(1+M51/100)))</f>
        <v>58.694905480778964</v>
      </c>
      <c r="N22" s="34">
        <f>IF(AND(N49&gt;1,M49&gt;1),IF(AND(N49&gt;0,M49&gt;0),N26*(N50/100+1),0)+IF(N49&gt;0,M22*(1+N51/100),0)-M22*(1+'Input data'!N30/100),IF(N49=1,N26,M22*(1+N51/100)))</f>
        <v>60.003928971254901</v>
      </c>
      <c r="O22" s="34">
        <f>IF(AND(O49&gt;1,N49&gt;1),IF(AND(O49&gt;0,N49&gt;0),O26*(O50/100+1),0)+IF(O49&gt;0,N22*(1+O51/100),0)-N22*(1+'Input data'!O30/100),IF(O49=1,O26,N22*(1+O51/100)))</f>
        <v>61.348264308514274</v>
      </c>
      <c r="P22" s="34">
        <f>IF(AND(P49&gt;1,O49&gt;1),IF(AND(P49&gt;0,O49&gt;0),P26*(P50/100+1),0)+IF(P49&gt;0,O22*(1+P51/100),0)-O22*(1+'Input data'!P30/100),IF(P49=1,P26,O22*(1+P51/100)))</f>
        <v>62.676343190435212</v>
      </c>
      <c r="Q22" s="34">
        <f>IF(AND(Q49&gt;1,P49&gt;1),IF(AND(Q49&gt;0,P49&gt;0),Q26*(Q50/100+1),0)+IF(Q49&gt;0,P22*(1+Q51/100),0)-P22*(1+'Input data'!Q30/100),IF(Q49=1,Q26,P22*(1+Q51/100)))</f>
        <v>63.960213552272705</v>
      </c>
      <c r="R22" s="34">
        <f>IF(AND(R49&gt;1,Q49&gt;1),IF(AND(R49&gt;0,Q49&gt;0),R26*(R50/100+1),0)+IF(R49&gt;0,Q22*(1+R51/100),0)-Q22*(1+'Input data'!R30/100),IF(R49=1,R26,Q22*(1+R51/100)))</f>
        <v>65.195927436511155</v>
      </c>
      <c r="S22" s="34">
        <f>IF(AND(S49&gt;1,R49&gt;1),IF(AND(S49&gt;0,R49&gt;0),S26*(S50/100+1),0)+IF(S49&gt;0,R22*(1+S51/100),0)-R22*(1+'Input data'!S30/100),IF(S49=1,S26,R22*(1+S51/100)))</f>
        <v>66.419155593690306</v>
      </c>
      <c r="T22" s="34">
        <f>IF(AND(T49&gt;1,S49&gt;1),IF(AND(T49&gt;0,S49&gt;0),T26*(T50/100+1),0)+IF(T49&gt;0,S22*(1+T51/100),0)-S22*(1+'Input data'!T30/100),IF(T49=1,T26,S22*(1+T51/100)))</f>
        <v>67.598965032225038</v>
      </c>
      <c r="U22" s="34">
        <f>IF(AND(U49&gt;1,T49&gt;1),IF(AND(U49&gt;0,T49&gt;0),U26*(U50/100+1),0)+IF(U49&gt;0,T22*(1+U51/100),0)-T22*(1+'Input data'!U30/100),IF(U49=1,U26,T22*(1+U51/100)))</f>
        <v>68.724956936828917</v>
      </c>
      <c r="V22" s="34">
        <f>IF(AND(V49&gt;1,U49&gt;1),IF(AND(V49&gt;0,U49&gt;0),V26*(V50/100+1),0)+IF(V49&gt;0,U22*(1+V51/100),0)-U22*(1+'Input data'!V30/100),IF(V49=1,V26,U22*(1+V51/100)))</f>
        <v>69.781010053354294</v>
      </c>
      <c r="W22" s="34">
        <f>IF(AND(W49&gt;1,V49&gt;1),IF(AND(W49&gt;0,V49&gt;0),W26*(W50/100+1),0)+IF(W49&gt;0,V22*(1+W51/100),0)-V22*(1+'Input data'!W30/100),IF(W49=1,W26,V22*(1+W51/100)))</f>
        <v>70.789829231024925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8.228491</v>
      </c>
      <c r="D23" s="100">
        <f t="shared" ref="D23:T23" si="0">100*(D22/C22-1)</f>
        <v>2.4607920000000005</v>
      </c>
      <c r="E23" s="100">
        <f t="shared" si="0"/>
        <v>1.5868970000000093</v>
      </c>
      <c r="F23" s="100">
        <f t="shared" si="0"/>
        <v>2.3434570000000043</v>
      </c>
      <c r="G23" s="34">
        <f t="shared" si="0"/>
        <v>2.6849850000000064</v>
      </c>
      <c r="H23" s="34">
        <f t="shared" si="0"/>
        <v>1.8560361763048983</v>
      </c>
      <c r="I23" s="34">
        <f t="shared" si="0"/>
        <v>1.9263805590576721</v>
      </c>
      <c r="J23" s="34">
        <f t="shared" si="0"/>
        <v>2.0083915211622561</v>
      </c>
      <c r="K23" s="34">
        <f t="shared" si="0"/>
        <v>2.636363475787995</v>
      </c>
      <c r="L23" s="34">
        <f t="shared" si="0"/>
        <v>2.5241133353486545</v>
      </c>
      <c r="M23" s="34">
        <f t="shared" si="0"/>
        <v>2.2413833571924391</v>
      </c>
      <c r="N23" s="34">
        <f>100*(N22/M22-1)</f>
        <v>2.2302165405217345</v>
      </c>
      <c r="O23" s="34">
        <f t="shared" si="0"/>
        <v>2.2404121868476068</v>
      </c>
      <c r="P23" s="34">
        <f t="shared" si="0"/>
        <v>2.1648190000000067</v>
      </c>
      <c r="Q23" s="34">
        <f t="shared" si="0"/>
        <v>2.0484130000000045</v>
      </c>
      <c r="R23" s="34">
        <f t="shared" si="0"/>
        <v>1.9320039999999983</v>
      </c>
      <c r="S23" s="34">
        <f t="shared" si="0"/>
        <v>1.8762340000000099</v>
      </c>
      <c r="T23" s="34">
        <f t="shared" si="0"/>
        <v>1.7763090000000092</v>
      </c>
      <c r="U23" s="34">
        <f t="shared" ref="U23" si="1">100*(U22/T22-1)</f>
        <v>1.6656940000000064</v>
      </c>
      <c r="V23" s="34">
        <f t="shared" ref="V23" si="2">100*(V22/U22-1)</f>
        <v>1.5366369999999963</v>
      </c>
      <c r="W23" s="34">
        <f t="shared" ref="W23" si="3">100*(W22/V22-1)</f>
        <v>1.4456929999999923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45.770859999999999</v>
      </c>
      <c r="D26" s="100">
        <f>+C26*(1+'Input data'!D33/100)</f>
        <v>46.850570786552801</v>
      </c>
      <c r="E26" s="100">
        <f>+D26*(1+'Input data'!E33/100)</f>
        <v>48.25044991246093</v>
      </c>
      <c r="F26" s="100">
        <f>+E26*(1+'Input data'!F33/100)</f>
        <v>49.629799034234424</v>
      </c>
      <c r="G26" s="34">
        <f>+F26*(1+'Input data'!G33/100)</f>
        <v>51.057412114605945</v>
      </c>
      <c r="H26" s="34">
        <f>+G26*(1+'Input data'!H33/100)</f>
        <v>52.328620670192919</v>
      </c>
      <c r="I26" s="34">
        <f>+H26*(1+'Input data'!I33/100)</f>
        <v>53.55798375831845</v>
      </c>
      <c r="J26" s="34">
        <f>+I26*(1+'Input data'!J33/100)</f>
        <v>54.784555312855517</v>
      </c>
      <c r="K26" s="34">
        <f>+J26*(1+'Input data'!K33/100)</f>
        <v>56.04805370341812</v>
      </c>
      <c r="L26" s="34">
        <f>+K26*(1+'Input data'!L33/100)</f>
        <v>57.339501186760998</v>
      </c>
      <c r="M26" s="34">
        <f>+L26*(1+'Input data'!M33/100)</f>
        <v>58.648082640624835</v>
      </c>
      <c r="N26" s="34">
        <f>+M26*(1+'Input data'!N33/100)</f>
        <v>59.979985875720857</v>
      </c>
      <c r="O26" s="34">
        <f>+N26*(1+'Input data'!O33/100)</f>
        <v>61.348264308514274</v>
      </c>
      <c r="P26" s="34">
        <f>+O26*(1+'Input data'!P33/100)</f>
        <v>62.676343190435212</v>
      </c>
      <c r="Q26" s="34">
        <f>+P26*(1+'Input data'!Q33/100)</f>
        <v>63.960214179036136</v>
      </c>
      <c r="R26" s="34">
        <f>+Q26*(1+'Input data'!R33/100)</f>
        <v>65.195930633792244</v>
      </c>
      <c r="S26" s="34">
        <f>+R26*(1+'Input data'!S33/100)</f>
        <v>66.419158850959874</v>
      </c>
      <c r="T26" s="34">
        <f>+S26*(1+'Input data'!T33/100)</f>
        <v>67.598969675736953</v>
      </c>
      <c r="U26" s="34">
        <f>+T26*(1+'Input data'!U33/100)</f>
        <v>68.724963009666908</v>
      </c>
      <c r="V26" s="34">
        <f>+U26*(1+'Input data'!V33/100)</f>
        <v>69.781012783261616</v>
      </c>
      <c r="W26" s="34">
        <f>+V26*(1+'Input data'!W33/100)</f>
        <v>70.789835489448976</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2.8929541634131528</v>
      </c>
      <c r="D29" s="100">
        <f t="shared" si="4"/>
        <v>2.9953294830951993</v>
      </c>
      <c r="E29" s="100">
        <f t="shared" si="4"/>
        <v>1.5941603087904044</v>
      </c>
      <c r="F29" s="100">
        <f t="shared" si="4"/>
        <v>1.0852241631239989</v>
      </c>
      <c r="G29" s="34">
        <f t="shared" si="4"/>
        <v>0.89702026588716066</v>
      </c>
      <c r="H29" s="34">
        <f t="shared" si="4"/>
        <v>0.27314187743385787</v>
      </c>
      <c r="I29" s="34">
        <f t="shared" si="4"/>
        <v>-0.14121131568606282</v>
      </c>
      <c r="J29" s="34">
        <f t="shared" si="4"/>
        <v>-0.41629694212075297</v>
      </c>
      <c r="K29" s="34">
        <f t="shared" si="4"/>
        <v>-9.5021091628577636E-2</v>
      </c>
      <c r="L29" s="34">
        <f t="shared" si="4"/>
        <v>0.11975542433597663</v>
      </c>
      <c r="M29" s="34">
        <f t="shared" si="4"/>
        <v>7.9836949557310355E-2</v>
      </c>
      <c r="N29" s="34">
        <f t="shared" si="4"/>
        <v>3.991847477866628E-2</v>
      </c>
      <c r="O29" s="34">
        <f t="shared" si="4"/>
        <v>0</v>
      </c>
      <c r="P29" s="34">
        <f t="shared" si="4"/>
        <v>0</v>
      </c>
      <c r="Q29" s="34">
        <f t="shared" si="4"/>
        <v>-9.7992703951277349E-7</v>
      </c>
      <c r="R29" s="34">
        <f t="shared" si="4"/>
        <v>-4.9041114391634721E-6</v>
      </c>
      <c r="S29" s="34">
        <f t="shared" si="4"/>
        <v>-4.9041114391634721E-6</v>
      </c>
      <c r="T29" s="34">
        <f t="shared" si="4"/>
        <v>-6.8692051602425863E-6</v>
      </c>
      <c r="U29" s="34">
        <f t="shared" ref="U29:W29" si="5">100*(U22/U26-1)</f>
        <v>-8.8364369044136026E-6</v>
      </c>
      <c r="V29" s="34">
        <f t="shared" si="5"/>
        <v>-3.9121061945479596E-6</v>
      </c>
      <c r="W29" s="34">
        <f t="shared" si="5"/>
        <v>-8.8408512399773542E-6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11.125195175352598</v>
      </c>
      <c r="D32" s="2">
        <f t="shared" si="6"/>
        <v>9.1030095661206456</v>
      </c>
      <c r="E32" s="2">
        <f t="shared" si="6"/>
        <v>10.610319602348994</v>
      </c>
      <c r="F32" s="2">
        <f t="shared" si="6"/>
        <v>5.7258795976820487</v>
      </c>
      <c r="G32" s="1">
        <f t="shared" si="6"/>
        <v>5.7256835341713552</v>
      </c>
      <c r="H32" s="1">
        <f t="shared" si="6"/>
        <v>4.8198350958001734</v>
      </c>
      <c r="I32" s="1">
        <f t="shared" si="6"/>
        <v>4.8398373409270778</v>
      </c>
      <c r="J32" s="1">
        <f t="shared" si="6"/>
        <v>4.8717613331892728</v>
      </c>
      <c r="K32" s="1">
        <f t="shared" si="6"/>
        <v>5.46460648909044</v>
      </c>
      <c r="L32" s="1">
        <f t="shared" si="6"/>
        <v>5.2965669479743349</v>
      </c>
      <c r="M32" s="1">
        <f t="shared" si="6"/>
        <v>4.9536404744609186</v>
      </c>
      <c r="N32" s="1">
        <f t="shared" si="6"/>
        <v>4.8896322435169282</v>
      </c>
      <c r="O32" s="1">
        <f t="shared" si="6"/>
        <v>4.8475426976122282</v>
      </c>
      <c r="P32" s="1">
        <f t="shared" si="6"/>
        <v>4.7419265592750115</v>
      </c>
      <c r="Q32" s="1">
        <f t="shared" si="6"/>
        <v>4.5945209043499968</v>
      </c>
      <c r="R32" s="1">
        <f t="shared" si="6"/>
        <v>4.4471761987000091</v>
      </c>
      <c r="S32" s="1">
        <f t="shared" si="6"/>
        <v>4.3620141095999987</v>
      </c>
      <c r="T32" s="1">
        <f t="shared" si="6"/>
        <v>4.231662454625007</v>
      </c>
      <c r="U32" s="1">
        <f t="shared" si="6"/>
        <v>4.0904208019000077</v>
      </c>
      <c r="V32" s="1">
        <f t="shared" si="6"/>
        <v>3.9303632172749792</v>
      </c>
      <c r="W32" s="1">
        <f t="shared" si="6"/>
        <v>3.8093776468999918</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1.7379089999999999</v>
      </c>
      <c r="D35" s="100">
        <f>'Input data'!D37</f>
        <v>1.6448419999999999</v>
      </c>
      <c r="E35" s="100">
        <f>'Input data'!E37</f>
        <v>1.8992169999999999</v>
      </c>
      <c r="F35" s="100">
        <f>'Input data'!F37</f>
        <v>2.1593610000000001</v>
      </c>
      <c r="G35" s="100">
        <f>'Input data'!G37</f>
        <v>2.1774469999999999</v>
      </c>
      <c r="H35" s="34">
        <f t="shared" ref="H35:W35" si="7">H92</f>
        <v>2.2733169841339604</v>
      </c>
      <c r="I35" s="34">
        <f t="shared" si="7"/>
        <v>2.3607475558071473</v>
      </c>
      <c r="J35" s="34">
        <f t="shared" si="7"/>
        <v>2.4431415909904963</v>
      </c>
      <c r="K35" s="34">
        <f t="shared" si="7"/>
        <v>2.5198266539528995</v>
      </c>
      <c r="L35" s="34">
        <f t="shared" si="7"/>
        <v>2.5998466946730963</v>
      </c>
      <c r="M35" s="34">
        <f t="shared" si="7"/>
        <v>2.6834902202638746</v>
      </c>
      <c r="N35" s="34">
        <f t="shared" si="7"/>
        <v>2.7681673710449219</v>
      </c>
      <c r="O35" s="34">
        <f t="shared" si="7"/>
        <v>2.8533523189020897</v>
      </c>
      <c r="P35" s="34">
        <f t="shared" si="7"/>
        <v>2.9351820964953697</v>
      </c>
      <c r="Q35" s="34">
        <f t="shared" si="7"/>
        <v>3.0122889537853337</v>
      </c>
      <c r="R35" s="34">
        <f t="shared" si="7"/>
        <v>3.0852373293542845</v>
      </c>
      <c r="S35" s="34">
        <f t="shared" si="7"/>
        <v>3.1536950113804827</v>
      </c>
      <c r="T35" s="34">
        <f t="shared" si="7"/>
        <v>3.2175377327437298</v>
      </c>
      <c r="U35" s="34">
        <f t="shared" si="7"/>
        <v>3.2773096224700158</v>
      </c>
      <c r="V35" s="34">
        <f t="shared" si="7"/>
        <v>3.3332575466480092</v>
      </c>
      <c r="W35" s="34">
        <f t="shared" si="7"/>
        <v>3.3850731083732755</v>
      </c>
    </row>
    <row r="36" spans="2:51" x14ac:dyDescent="0.2">
      <c r="B36" s="32" t="s">
        <v>94</v>
      </c>
      <c r="C36" s="1"/>
      <c r="D36" s="2">
        <f>'Input data'!D$39</f>
        <v>1.89</v>
      </c>
      <c r="E36" s="2">
        <f>'Input data'!E$39</f>
        <v>3.4</v>
      </c>
      <c r="F36" s="166">
        <f>'Input data'!F$39</f>
        <v>3.2130990000000001</v>
      </c>
      <c r="G36" s="166">
        <f>'Input data'!G$39</f>
        <v>3.2666849999999998</v>
      </c>
      <c r="H36" s="1">
        <f>G36+($O$36-$G$36)/($O$10-$G$10)</f>
        <v>3.3183456250000001</v>
      </c>
      <c r="I36" s="1">
        <f t="shared" ref="I36:M36" si="8">H36+($O$36-$G$36)/($O$10-$G$10)</f>
        <v>3.3700062500000003</v>
      </c>
      <c r="J36" s="1">
        <f t="shared" si="8"/>
        <v>3.4216668750000006</v>
      </c>
      <c r="K36" s="1">
        <f t="shared" si="8"/>
        <v>3.4733275000000008</v>
      </c>
      <c r="L36" s="1">
        <f t="shared" si="8"/>
        <v>3.524988125000001</v>
      </c>
      <c r="M36" s="1">
        <f t="shared" si="8"/>
        <v>3.5766487500000013</v>
      </c>
      <c r="N36" s="1">
        <f>M36+($O$36-$G$36)/($O$10-$G$10)</f>
        <v>3.6283093750000015</v>
      </c>
      <c r="O36" s="252">
        <f>'Input data'!$C$52</f>
        <v>3.67997</v>
      </c>
      <c r="P36" s="1">
        <f>'Baseline NFPC'!P36</f>
        <v>3.6959714999999997</v>
      </c>
      <c r="Q36" s="1">
        <f>'Baseline NFPC'!Q36</f>
        <v>3.711973</v>
      </c>
      <c r="R36" s="1">
        <f>'Baseline NFPC'!R36</f>
        <v>3.7279745000000002</v>
      </c>
      <c r="S36" s="1">
        <f>'Baseline NFPC'!S36</f>
        <v>3.743976</v>
      </c>
      <c r="T36" s="1">
        <f>'Baseline NFPC'!T36</f>
        <v>3.7599774999999998</v>
      </c>
      <c r="U36" s="1">
        <f>'Baseline NFPC'!U36</f>
        <v>3.775979</v>
      </c>
      <c r="V36" s="1">
        <f>'Baseline NFPC'!V36</f>
        <v>3.7919805000000002</v>
      </c>
      <c r="W36" s="1">
        <f>'Baseline NFPC'!W36</f>
        <v>3.807982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0.35</v>
      </c>
      <c r="E37" s="2">
        <f>'Input data'!E$38</f>
        <v>3.43</v>
      </c>
      <c r="F37" s="166">
        <f>'Input data'!F$38</f>
        <v>3.5642079999999998</v>
      </c>
      <c r="G37" s="166">
        <f>'Input data'!G$38</f>
        <v>2.8163749999999999</v>
      </c>
      <c r="H37" s="1">
        <f>G37+($O$37-$G$37)/($O$10-$G$10)</f>
        <v>2.8050893749999997</v>
      </c>
      <c r="I37" s="1">
        <f t="shared" ref="I37:N37" si="9">H37+($O$37-$G$37)/($O$10-$G$10)</f>
        <v>2.7938037499999995</v>
      </c>
      <c r="J37" s="1">
        <f t="shared" si="9"/>
        <v>2.7825181249999993</v>
      </c>
      <c r="K37" s="1">
        <f t="shared" si="9"/>
        <v>2.7712324999999991</v>
      </c>
      <c r="L37" s="1">
        <f t="shared" si="9"/>
        <v>2.7599468749999989</v>
      </c>
      <c r="M37" s="1">
        <f t="shared" si="9"/>
        <v>2.7486612499999987</v>
      </c>
      <c r="N37" s="1">
        <f t="shared" si="9"/>
        <v>2.7373756249999985</v>
      </c>
      <c r="O37" s="252">
        <f>'Input data'!$C$53</f>
        <v>2.7260900000000001</v>
      </c>
      <c r="P37" s="1">
        <f>'Baseline NFPC'!P37</f>
        <v>2.6897855000000002</v>
      </c>
      <c r="Q37" s="1">
        <f>'Baseline NFPC'!Q37</f>
        <v>2.6534810000000002</v>
      </c>
      <c r="R37" s="1">
        <f>'Baseline NFPC'!R37</f>
        <v>2.6171765000000002</v>
      </c>
      <c r="S37" s="1">
        <f>'Baseline NFPC'!S37</f>
        <v>2.5808720000000003</v>
      </c>
      <c r="T37" s="1">
        <f>'Baseline NFPC'!T37</f>
        <v>2.5445675000000003</v>
      </c>
      <c r="U37" s="1">
        <f>'Baseline NFPC'!U37</f>
        <v>2.5082629999999999</v>
      </c>
      <c r="V37" s="1">
        <f>'Baseline NFPC'!V37</f>
        <v>2.4719584999999999</v>
      </c>
      <c r="W37" s="1">
        <f>'Baseline NFPC'!W37</f>
        <v>2.435654</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8.9708819999999995E-2</v>
      </c>
      <c r="D38" s="34">
        <f>'Baseline NFPC'!D38</f>
        <v>3.952174E-2</v>
      </c>
      <c r="E38" s="34">
        <f>'Baseline NFPC'!E38</f>
        <v>3.0137259999999999E-2</v>
      </c>
      <c r="F38" s="34">
        <f>'Baseline NFPC'!F38</f>
        <v>5.50765E-2</v>
      </c>
      <c r="G38" s="34">
        <f>'Baseline NFPC'!G38</f>
        <v>5.5870452222222221E-2</v>
      </c>
      <c r="H38" s="34">
        <f>'Baseline NFPC'!H38</f>
        <v>5.6664404444444441E-2</v>
      </c>
      <c r="I38" s="34">
        <f>'Baseline NFPC'!I38</f>
        <v>5.7458356666666668E-2</v>
      </c>
      <c r="J38" s="34">
        <f>'Baseline NFPC'!J38</f>
        <v>5.8252308888888889E-2</v>
      </c>
      <c r="K38" s="34">
        <f>'Baseline NFPC'!K38</f>
        <v>5.9046261111111109E-2</v>
      </c>
      <c r="L38" s="34">
        <f>'Baseline NFPC'!L38</f>
        <v>5.9840213333333329E-2</v>
      </c>
      <c r="M38" s="34">
        <f>'Baseline NFPC'!M38</f>
        <v>6.063416555555555E-2</v>
      </c>
      <c r="N38" s="34">
        <f>'Baseline NFPC'!N38</f>
        <v>6.1428117777777777E-2</v>
      </c>
      <c r="O38" s="34">
        <f>'Baseline NFPC'!O38</f>
        <v>6.2222069999999997E-2</v>
      </c>
      <c r="P38" s="34">
        <f>'Baseline NFPC'!P38</f>
        <v>6.2222069999999997E-2</v>
      </c>
      <c r="Q38" s="34">
        <f>'Baseline NFPC'!Q38</f>
        <v>6.2222069999999997E-2</v>
      </c>
      <c r="R38" s="34">
        <f>'Baseline NFPC'!R38</f>
        <v>6.2222069999999997E-2</v>
      </c>
      <c r="S38" s="34">
        <f>'Baseline NFPC'!S38</f>
        <v>6.2222069999999997E-2</v>
      </c>
      <c r="T38" s="34">
        <f>'Baseline NFPC'!T38</f>
        <v>6.2222069999999997E-2</v>
      </c>
      <c r="U38" s="34">
        <f>'Baseline NFPC'!U38</f>
        <v>6.2222069999999997E-2</v>
      </c>
      <c r="V38" s="34">
        <f>'Baseline NFPC'!V38</f>
        <v>6.2222069999999997E-2</v>
      </c>
      <c r="W38" s="34">
        <f>'Baseline NFPC'!W38</f>
        <v>6.2222069999999997E-2</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2.6764709999999998</v>
      </c>
      <c r="D41" s="2">
        <f>'Input data'!D42</f>
        <v>6.4826920000000001</v>
      </c>
      <c r="E41" s="2">
        <f>'Input data'!E42</f>
        <v>8.8824670000000001</v>
      </c>
      <c r="F41" s="2">
        <f>'Input data'!F42</f>
        <v>3.3049719999999998</v>
      </c>
      <c r="G41" s="2">
        <f>'Input data'!G42</f>
        <v>2.9611909999999999</v>
      </c>
      <c r="H41" s="1">
        <f>'Baseline NFPC'!H41</f>
        <v>2.9097921250000001</v>
      </c>
      <c r="I41" s="1">
        <f>'Baseline NFPC'!I41</f>
        <v>2.8583932499999998</v>
      </c>
      <c r="J41" s="1">
        <f>'Baseline NFPC'!J41</f>
        <v>2.8069943749999999</v>
      </c>
      <c r="K41" s="1">
        <f>'Baseline NFPC'!K41</f>
        <v>2.7555955000000001</v>
      </c>
      <c r="L41" s="1">
        <f>'Baseline NFPC'!L41</f>
        <v>2.7041966249999998</v>
      </c>
      <c r="M41" s="1">
        <f>'Baseline NFPC'!M41</f>
        <v>2.65279775</v>
      </c>
      <c r="N41" s="1">
        <f>'Baseline NFPC'!N41</f>
        <v>2.6013988749999997</v>
      </c>
      <c r="O41" s="252">
        <f>'Baseline NFPC'!O41</f>
        <v>2.5499999999999998</v>
      </c>
      <c r="P41" s="1">
        <f>'Baseline NFPC'!P41</f>
        <v>2.5225</v>
      </c>
      <c r="Q41" s="1">
        <f>'Baseline NFPC'!Q41</f>
        <v>2.4949999999999997</v>
      </c>
      <c r="R41" s="1">
        <f>'Baseline NFPC'!R41</f>
        <v>2.4674999999999998</v>
      </c>
      <c r="S41" s="1">
        <f>'Baseline NFPC'!S41</f>
        <v>2.44</v>
      </c>
      <c r="T41" s="1">
        <f>'Baseline NFPC'!T41</f>
        <v>2.4124999999999996</v>
      </c>
      <c r="U41" s="1">
        <f>'Baseline NFPC'!U41</f>
        <v>2.3849999999999998</v>
      </c>
      <c r="V41" s="1">
        <f>'Baseline NFPC'!V41</f>
        <v>2.3574999999999999</v>
      </c>
      <c r="W41" s="1">
        <f>'Baseline NFPC'!W41</f>
        <v>2.33</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0.99995230000000002</v>
      </c>
      <c r="D42" s="1">
        <f>'Baseline NFPC'!D42</f>
        <v>1</v>
      </c>
      <c r="E42" s="1">
        <f>'Baseline NFPC'!E42</f>
        <v>1</v>
      </c>
      <c r="F42" s="1">
        <f>'Baseline NFPC'!F42</f>
        <v>0.99999990000000005</v>
      </c>
      <c r="G42" s="1">
        <f>'Baseline NFPC'!G42</f>
        <v>1</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0.46800000000000003</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0.59801351059144037</v>
      </c>
      <c r="I50" s="34">
        <f t="shared" si="10"/>
        <v>0.18209458495590525</v>
      </c>
      <c r="J50" s="34">
        <f t="shared" si="10"/>
        <v>-9.4140877124041872E-2</v>
      </c>
      <c r="K50" s="34">
        <f t="shared" si="10"/>
        <v>-0.27753129474716864</v>
      </c>
      <c r="L50" s="34">
        <f t="shared" si="10"/>
        <v>-6.3347394419051753E-2</v>
      </c>
      <c r="M50" s="34">
        <f t="shared" si="10"/>
        <v>7.9836949557317752E-2</v>
      </c>
      <c r="N50" s="34">
        <f t="shared" si="10"/>
        <v>3.9918474778658876E-2</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2.4607920000000001</v>
      </c>
      <c r="E51" s="34">
        <f>'Input data'!E30-$C$46*((E12-D12)-('Input data'!E13-'Input data'!D13))</f>
        <v>1.586897</v>
      </c>
      <c r="F51" s="34">
        <f>'Input data'!F30-$C$46*((F12-E12)-('Input data'!F13-'Input data'!E13))</f>
        <v>2.3434569999999999</v>
      </c>
      <c r="G51" s="34">
        <f>'Input data'!G30-$C$46*((G12-F12))</f>
        <v>2.6849849999999997</v>
      </c>
      <c r="H51" s="34">
        <f>'Input data'!H30-$C$46*((H12-G12))</f>
        <v>1.747576</v>
      </c>
      <c r="I51" s="34">
        <f>'Input data'!I30-$C$46*((I12-H12))</f>
        <v>1.4682519999999999</v>
      </c>
      <c r="J51" s="34">
        <f>'Input data'!J30-$C$46*((J12-I12))</f>
        <v>1.683325</v>
      </c>
      <c r="K51" s="34">
        <f>'Input data'!K30-$C$46*((K12-J12))</f>
        <v>2.4938069999999999</v>
      </c>
      <c r="L51" s="34">
        <f>'Input data'!L30-$C$46*((L12-K12))</f>
        <v>2.4916770000000001</v>
      </c>
      <c r="M51" s="34">
        <f>'Input data'!M30-$C$46*((M12-L12))</f>
        <v>2.282165</v>
      </c>
      <c r="N51" s="34">
        <f>'Input data'!N30-$C$46*((N12-M12))</f>
        <v>2.2710119999999998</v>
      </c>
      <c r="O51" s="34">
        <f>'Input data'!O30-$C$46*((O12-N12))</f>
        <v>2.2812250000000001</v>
      </c>
      <c r="P51" s="34">
        <f>'Input data'!P30-$C$46*((P12-O12))</f>
        <v>2.164819</v>
      </c>
      <c r="Q51" s="34">
        <f>'Input data'!Q30-$C$46*((Q12-P12))</f>
        <v>2.048413</v>
      </c>
      <c r="R51" s="34">
        <f>'Input data'!R30-$C$46*((R12-Q12))</f>
        <v>1.9320040000000001</v>
      </c>
      <c r="S51" s="34">
        <f>'Input data'!S30-$C$46*((S12-R12))</f>
        <v>1.876234</v>
      </c>
      <c r="T51" s="34">
        <f>'Input data'!T30-$C$46*((T12-S12))</f>
        <v>1.7763089999999999</v>
      </c>
      <c r="U51" s="34">
        <f>'Input data'!U30-$C$46*((U12-T12))</f>
        <v>1.665694</v>
      </c>
      <c r="V51" s="34">
        <f>'Input data'!V30-$C$46*((V12-U12))</f>
        <v>1.536637</v>
      </c>
      <c r="W51" s="34">
        <f>'Input data'!W30-$C$46*((W12-V12))</f>
        <v>1.4456929999999999</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74.367679999999993</v>
      </c>
      <c r="D56" s="45">
        <f t="shared" ref="D56:T56" si="11">+C56+D57</f>
        <v>72.475954801911442</v>
      </c>
      <c r="E56" s="45">
        <f t="shared" si="11"/>
        <v>69.219569977397526</v>
      </c>
      <c r="F56" s="45">
        <f t="shared" si="11"/>
        <v>68.073476569055487</v>
      </c>
      <c r="G56" s="45">
        <f t="shared" si="11"/>
        <v>66.450398022510456</v>
      </c>
      <c r="H56" s="45">
        <f t="shared" si="11"/>
        <v>65.072880781600858</v>
      </c>
      <c r="I56" s="45">
        <f t="shared" si="11"/>
        <v>63.524900171385966</v>
      </c>
      <c r="J56" s="45">
        <f t="shared" si="11"/>
        <v>61.733292809090855</v>
      </c>
      <c r="K56" s="45">
        <f t="shared" si="11"/>
        <v>59.958424879905444</v>
      </c>
      <c r="L56" s="45">
        <f t="shared" si="11"/>
        <v>58.685221374373427</v>
      </c>
      <c r="M56" s="45">
        <f t="shared" si="11"/>
        <v>57.853517260189463</v>
      </c>
      <c r="N56" s="45">
        <f t="shared" si="11"/>
        <v>57.284963381394284</v>
      </c>
      <c r="O56" s="46">
        <f t="shared" si="11"/>
        <v>57.006006477817103</v>
      </c>
      <c r="P56" s="46">
        <f t="shared" si="11"/>
        <v>56.964222330706789</v>
      </c>
      <c r="Q56" s="46">
        <f t="shared" si="11"/>
        <v>57.223991014869597</v>
      </c>
      <c r="R56" s="46">
        <f t="shared" si="11"/>
        <v>57.753276425558852</v>
      </c>
      <c r="S56" s="46">
        <f t="shared" si="11"/>
        <v>58.491570398579157</v>
      </c>
      <c r="T56" s="46">
        <f t="shared" si="11"/>
        <v>59.508008729209337</v>
      </c>
      <c r="U56" s="46">
        <f t="shared" ref="U56" si="12">+T56+U57</f>
        <v>60.831443890775887</v>
      </c>
      <c r="V56" s="46">
        <f t="shared" ref="V56" si="13">+U56+V57</f>
        <v>62.411989414163628</v>
      </c>
      <c r="W56" s="46">
        <f t="shared" ref="W56" si="14">+V56+W57</f>
        <v>64.22814234034692</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-1.8917251980885543</v>
      </c>
      <c r="E57" s="47">
        <f t="shared" si="15"/>
        <v>-3.2563848245139155</v>
      </c>
      <c r="F57" s="47">
        <f t="shared" si="15"/>
        <v>-1.1460934083420342</v>
      </c>
      <c r="G57" s="47">
        <f t="shared" si="15"/>
        <v>-1.6230785465450368</v>
      </c>
      <c r="H57" s="47">
        <f t="shared" si="15"/>
        <v>-1.3775172409095964</v>
      </c>
      <c r="I57" s="47">
        <f t="shared" si="15"/>
        <v>-1.5479806102148927</v>
      </c>
      <c r="J57" s="47">
        <f t="shared" si="15"/>
        <v>-1.7916073622951096</v>
      </c>
      <c r="K57" s="47">
        <f t="shared" si="15"/>
        <v>-1.774867929185413</v>
      </c>
      <c r="L57" s="47">
        <f t="shared" si="15"/>
        <v>-1.273203505532017</v>
      </c>
      <c r="M57" s="47">
        <f t="shared" si="15"/>
        <v>-0.83170411418396673</v>
      </c>
      <c r="N57" s="47">
        <f t="shared" si="15"/>
        <v>-0.56855387879517627</v>
      </c>
      <c r="O57" s="47">
        <f t="shared" si="15"/>
        <v>-0.27895690357718284</v>
      </c>
      <c r="P57" s="47">
        <f t="shared" si="15"/>
        <v>-4.1784147110316194E-2</v>
      </c>
      <c r="Q57" s="47">
        <f t="shared" si="15"/>
        <v>0.25976868416281107</v>
      </c>
      <c r="R57" s="47">
        <f t="shared" si="15"/>
        <v>0.52928541068925528</v>
      </c>
      <c r="S57" s="47">
        <f t="shared" si="15"/>
        <v>0.73829397302030619</v>
      </c>
      <c r="T57" s="47">
        <f t="shared" si="15"/>
        <v>1.0164383306301819</v>
      </c>
      <c r="U57" s="47">
        <f t="shared" ref="U57:W57" si="16">-U58+U66+U71</f>
        <v>1.3234351615665481</v>
      </c>
      <c r="V57" s="47">
        <f t="shared" si="16"/>
        <v>1.5805455233877421</v>
      </c>
      <c r="W57" s="47">
        <f t="shared" si="16"/>
        <v>1.8161529261832887</v>
      </c>
    </row>
    <row r="58" spans="2:48" outlineLevel="1" x14ac:dyDescent="0.2">
      <c r="B58" s="84" t="s">
        <v>106</v>
      </c>
      <c r="C58" s="48"/>
      <c r="D58" s="48">
        <f t="shared" ref="D58:T58" si="17">D59+D60-D61-D62-D63-D64-D65</f>
        <v>-1.8615918019114464</v>
      </c>
      <c r="E58" s="48">
        <f t="shared" si="17"/>
        <v>-1.2147641754860907</v>
      </c>
      <c r="F58" s="48">
        <f t="shared" si="17"/>
        <v>-1.3889442916579684</v>
      </c>
      <c r="G58" s="48">
        <f t="shared" si="17"/>
        <v>-0.86152171556480883</v>
      </c>
      <c r="H58" s="48">
        <f t="shared" si="17"/>
        <v>-0.23684460136095453</v>
      </c>
      <c r="I58" s="48">
        <f t="shared" si="17"/>
        <v>9.2381042589225748E-3</v>
      </c>
      <c r="J58" s="48">
        <f t="shared" si="17"/>
        <v>0.32049803108748764</v>
      </c>
      <c r="K58" s="48">
        <f t="shared" si="17"/>
        <v>5.1152629117822618E-2</v>
      </c>
      <c r="L58" s="48">
        <f t="shared" si="17"/>
        <v>-0.26237456141076304</v>
      </c>
      <c r="M58" s="48">
        <f t="shared" si="17"/>
        <v>-0.43765890760718063</v>
      </c>
      <c r="N58" s="48">
        <f t="shared" si="17"/>
        <v>-0.60157325380358473</v>
      </c>
      <c r="O58" s="48">
        <f t="shared" si="17"/>
        <v>-0.8105977000000002</v>
      </c>
      <c r="P58" s="48">
        <f t="shared" si="17"/>
        <v>-0.94154020000000349</v>
      </c>
      <c r="Q58" s="48">
        <f t="shared" si="17"/>
        <v>-1.1214831586058533</v>
      </c>
      <c r="R58" s="48">
        <f t="shared" si="17"/>
        <v>-1.2754575951241542</v>
      </c>
      <c r="S58" s="48">
        <f t="shared" si="17"/>
        <v>-1.4069700951241537</v>
      </c>
      <c r="T58" s="48">
        <f t="shared" si="17"/>
        <v>-1.5855336147880168</v>
      </c>
      <c r="U58" s="48">
        <f t="shared" ref="U58:W58" si="18">U59+U60-U61-U62-U63-U64-U65</f>
        <v>-1.788287035452472</v>
      </c>
      <c r="V58" s="48">
        <f t="shared" si="18"/>
        <v>-1.9300372308656986</v>
      </c>
      <c r="W58" s="48">
        <f t="shared" si="18"/>
        <v>-2.0712521375183814</v>
      </c>
    </row>
    <row r="59" spans="2:48" outlineLevel="1" x14ac:dyDescent="0.2">
      <c r="B59" s="79" t="s">
        <v>107</v>
      </c>
      <c r="C59" s="1"/>
      <c r="D59" s="1">
        <f>D12</f>
        <v>-3.2634059999999998</v>
      </c>
      <c r="E59" s="1">
        <f>E12</f>
        <v>-1.555059</v>
      </c>
      <c r="F59" s="1">
        <f>F12</f>
        <v>-1.244675</v>
      </c>
      <c r="G59" s="1">
        <f t="shared" ref="G59:W59" si="19">IF(G12="",F59,G12)</f>
        <v>-0.80467500000000003</v>
      </c>
      <c r="H59" s="1">
        <f t="shared" si="19"/>
        <v>-0.36467500000000003</v>
      </c>
      <c r="I59" s="1">
        <f t="shared" si="19"/>
        <v>7.5324999999999975E-2</v>
      </c>
      <c r="J59" s="1">
        <f t="shared" si="19"/>
        <v>0.51532500000000003</v>
      </c>
      <c r="K59" s="1">
        <f t="shared" si="19"/>
        <v>0.26532500000000003</v>
      </c>
      <c r="L59" s="1">
        <f t="shared" si="19"/>
        <v>1.5325000000000033E-2</v>
      </c>
      <c r="M59" s="1">
        <f t="shared" si="19"/>
        <v>1.5325000000000033E-2</v>
      </c>
      <c r="N59" s="1">
        <f t="shared" si="19"/>
        <v>1.5325000000000033E-2</v>
      </c>
      <c r="O59" s="1">
        <f t="shared" si="19"/>
        <v>1.5325000000000033E-2</v>
      </c>
      <c r="P59" s="1">
        <f t="shared" si="19"/>
        <v>1.5325000000000033E-2</v>
      </c>
      <c r="Q59" s="1">
        <f t="shared" si="19"/>
        <v>1.5325000000000033E-2</v>
      </c>
      <c r="R59" s="1">
        <f t="shared" si="19"/>
        <v>1.5325000000000033E-2</v>
      </c>
      <c r="S59" s="1">
        <f t="shared" si="19"/>
        <v>1.5325000000000033E-2</v>
      </c>
      <c r="T59" s="1">
        <f t="shared" si="19"/>
        <v>1.5325000000000033E-2</v>
      </c>
      <c r="U59" s="1">
        <f t="shared" si="19"/>
        <v>1.5325000000000033E-2</v>
      </c>
      <c r="V59" s="1">
        <f t="shared" si="19"/>
        <v>1.5325000000000033E-2</v>
      </c>
      <c r="W59" s="1">
        <f t="shared" si="19"/>
        <v>1.5325000000000033E-2</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-1.4018141980885535</v>
      </c>
      <c r="E61" s="1">
        <f t="shared" si="20"/>
        <v>-0.74606702451390927</v>
      </c>
      <c r="F61" s="1">
        <f t="shared" si="20"/>
        <v>-0.50788490834203148</v>
      </c>
      <c r="G61" s="1">
        <f t="shared" si="20"/>
        <v>-0.41980548443519122</v>
      </c>
      <c r="H61" s="1">
        <f t="shared" si="20"/>
        <v>-0.12783039863904549</v>
      </c>
      <c r="I61" s="1">
        <f t="shared" si="20"/>
        <v>6.6086895741077401E-2</v>
      </c>
      <c r="J61" s="1">
        <f t="shared" si="20"/>
        <v>0.19482696891251239</v>
      </c>
      <c r="K61" s="1">
        <f t="shared" si="20"/>
        <v>4.4469870882174335E-2</v>
      </c>
      <c r="L61" s="1">
        <f t="shared" si="20"/>
        <v>-5.6045538589237068E-2</v>
      </c>
      <c r="M61" s="1">
        <f t="shared" si="20"/>
        <v>-3.7363692392821252E-2</v>
      </c>
      <c r="N61" s="1">
        <f t="shared" si="20"/>
        <v>-1.868184619641582E-2</v>
      </c>
      <c r="O61" s="1">
        <f t="shared" si="20"/>
        <v>0</v>
      </c>
      <c r="P61" s="1">
        <f t="shared" si="20"/>
        <v>0</v>
      </c>
      <c r="Q61" s="1">
        <f t="shared" si="20"/>
        <v>4.5860585449197801E-7</v>
      </c>
      <c r="R61" s="1">
        <f t="shared" si="20"/>
        <v>2.295124153528505E-6</v>
      </c>
      <c r="S61" s="1">
        <f t="shared" si="20"/>
        <v>2.295124153528505E-6</v>
      </c>
      <c r="T61" s="1">
        <f t="shared" si="20"/>
        <v>3.2147880149935307E-6</v>
      </c>
      <c r="U61" s="1">
        <f t="shared" si="20"/>
        <v>4.1354524712655665E-6</v>
      </c>
      <c r="V61" s="1">
        <f t="shared" si="20"/>
        <v>1.8308656990484453E-6</v>
      </c>
      <c r="W61" s="1">
        <f t="shared" si="20"/>
        <v>4.1375183803094016E-6</v>
      </c>
    </row>
    <row r="62" spans="2:48" outlineLevel="1" x14ac:dyDescent="0.2">
      <c r="B62" s="79" t="s">
        <v>110</v>
      </c>
      <c r="C62" s="1"/>
      <c r="D62" s="1">
        <f t="shared" ref="D62:W62" si="21">-D13</f>
        <v>0</v>
      </c>
      <c r="E62" s="1">
        <f t="shared" si="21"/>
        <v>0.40577220000000003</v>
      </c>
      <c r="F62" s="1">
        <f t="shared" si="21"/>
        <v>0.65215420000000002</v>
      </c>
      <c r="G62" s="1">
        <f t="shared" si="21"/>
        <v>0.47665220000000003</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0.1706200000000031</v>
      </c>
      <c r="L63" s="1">
        <f>IF(L$55&lt;=$C$6,0,HLOOKUP(L$55,'Input data'!$C$9:$BB$26,12,FALSE)-HLOOKUP($C$6,'Input data'!$C$9:$BB$26,12,FALSE))</f>
        <v>0.33558000000000021</v>
      </c>
      <c r="M63" s="1">
        <f>IF(M$55&lt;=$C$6,0,HLOOKUP(M$55,'Input data'!$C$9:$BB$26,12,FALSE)-HLOOKUP($C$6,'Input data'!$C$9:$BB$26,12,FALSE))</f>
        <v>0.49310000000000187</v>
      </c>
      <c r="N63" s="1">
        <f>IF(N$55&lt;=$C$6,0,HLOOKUP(N$55,'Input data'!$C$9:$BB$26,12,FALSE)-HLOOKUP($C$6,'Input data'!$C$9:$BB$26,12,FALSE))</f>
        <v>0.63925000000000054</v>
      </c>
      <c r="O63" s="1">
        <f>IF(O$55&lt;=$C$6,0,HLOOKUP(O$55,'Input data'!$C$9:$BB$26,12,FALSE)-HLOOKUP($C$6,'Input data'!$C$9:$BB$26,12,FALSE))</f>
        <v>0.8305100000000003</v>
      </c>
      <c r="P63" s="1">
        <f>IF(P$55&lt;=$C$6,0,HLOOKUP(P$55,'Input data'!$C$9:$BB$26,12,FALSE)-HLOOKUP($C$6,'Input data'!$C$9:$BB$26,12,FALSE))</f>
        <v>0.9623700000000035</v>
      </c>
      <c r="Q63" s="1">
        <f>IF(Q$55&lt;=$C$6,0,HLOOKUP(Q$55,'Input data'!$C$9:$BB$26,12,FALSE)-HLOOKUP($C$6,'Input data'!$C$9:$BB$26,12,FALSE))</f>
        <v>1.1432299999999991</v>
      </c>
      <c r="R63" s="1">
        <f>IF(R$55&lt;=$C$6,0,HLOOKUP(R$55,'Input data'!$C$9:$BB$26,12,FALSE)-HLOOKUP($C$6,'Input data'!$C$9:$BB$26,12,FALSE))</f>
        <v>1.2981200000000008</v>
      </c>
      <c r="S63" s="1">
        <f>IF(S$55&lt;=$C$6,0,HLOOKUP(S$55,'Input data'!$C$9:$BB$26,12,FALSE)-HLOOKUP($C$6,'Input data'!$C$9:$BB$26,12,FALSE))</f>
        <v>1.4305500000000002</v>
      </c>
      <c r="T63" s="1">
        <f>IF(T$55&lt;=$C$6,0,HLOOKUP(T$55,'Input data'!$C$9:$BB$26,12,FALSE)-HLOOKUP($C$6,'Input data'!$C$9:$BB$26,12,FALSE))</f>
        <v>1.6100300000000018</v>
      </c>
      <c r="U63" s="1">
        <f>IF(U$55&lt;=$C$6,0,HLOOKUP(U$55,'Input data'!$C$9:$BB$26,12,FALSE)-HLOOKUP($C$6,'Input data'!$C$9:$BB$26,12,FALSE))</f>
        <v>1.8137000000000008</v>
      </c>
      <c r="V63" s="1">
        <f>IF(V$55&lt;=$C$6,0,HLOOKUP(V$55,'Input data'!$C$9:$BB$26,12,FALSE)-HLOOKUP($C$6,'Input data'!$C$9:$BB$26,12,FALSE))</f>
        <v>1.9563699999999997</v>
      </c>
      <c r="W63" s="1">
        <f>IF(W$55&lt;=$C$6,0,HLOOKUP(W$55,'Input data'!$C$9:$BB$26,12,FALSE)-HLOOKUP($C$6,'Input data'!$C$9:$BB$26,12,FALSE))</f>
        <v>2.0985000000000014</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-9.1750000000001553E-4</v>
      </c>
      <c r="L64" s="1">
        <f>IF(L$55&lt;=$C$6,0,-HLOOKUP(L$55,'Input data'!$C$9:$BB$26,18,FALSE)+HLOOKUP($C$6,'Input data'!$C$9:$BB$26,18,FALSE))</f>
        <v>-1.8349000000000837E-3</v>
      </c>
      <c r="M64" s="1">
        <f>IF(M$55&lt;=$C$6,0,-HLOOKUP(M$55,'Input data'!$C$9:$BB$26,18,FALSE)+HLOOKUP($C$6,'Input data'!$C$9:$BB$26,18,FALSE))</f>
        <v>-2.7523999999999882E-3</v>
      </c>
      <c r="N64" s="1">
        <f>IF(N$55&lt;=$C$6,0,-HLOOKUP(N$55,'Input data'!$C$9:$BB$26,18,FALSE)+HLOOKUP($C$6,'Input data'!$C$9:$BB$26,18,FALSE))</f>
        <v>-3.6699000000000037E-3</v>
      </c>
      <c r="O64" s="1">
        <f>IF(O$55&lt;=$C$6,0,-HLOOKUP(O$55,'Input data'!$C$9:$BB$26,18,FALSE)+HLOOKUP($C$6,'Input data'!$C$9:$BB$26,18,FALSE))</f>
        <v>-4.5873000000000719E-3</v>
      </c>
      <c r="P64" s="1">
        <f>IF(P$55&lt;=$C$6,0,-HLOOKUP(P$55,'Input data'!$C$9:$BB$26,18,FALSE)+HLOOKUP($C$6,'Input data'!$C$9:$BB$26,18,FALSE))</f>
        <v>-5.5047999999999764E-3</v>
      </c>
      <c r="Q64" s="1">
        <f>IF(Q$55&lt;=$C$6,0,-HLOOKUP(Q$55,'Input data'!$C$9:$BB$26,18,FALSE)+HLOOKUP($C$6,'Input data'!$C$9:$BB$26,18,FALSE))</f>
        <v>-6.4222999999999919E-3</v>
      </c>
      <c r="R64" s="1">
        <f>IF(R$55&lt;=$C$6,0,-HLOOKUP(R$55,'Input data'!$C$9:$BB$26,18,FALSE)+HLOOKUP($C$6,'Input data'!$C$9:$BB$26,18,FALSE))</f>
        <v>-7.3397000000000601E-3</v>
      </c>
      <c r="S64" s="1">
        <f>IF(S$55&lt;=$C$6,0,-HLOOKUP(S$55,'Input data'!$C$9:$BB$26,18,FALSE)+HLOOKUP($C$6,'Input data'!$C$9:$BB$26,18,FALSE))</f>
        <v>-8.2572000000000756E-3</v>
      </c>
      <c r="T64" s="1">
        <f>IF(T$55&lt;=$C$6,0,-HLOOKUP(T$55,'Input data'!$C$9:$BB$26,18,FALSE)+HLOOKUP($C$6,'Input data'!$C$9:$BB$26,18,FALSE))</f>
        <v>-9.1746000000000327E-3</v>
      </c>
      <c r="U64" s="1">
        <f>IF(U$55&lt;=$C$6,0,-HLOOKUP(U$55,'Input data'!$C$9:$BB$26,18,FALSE)+HLOOKUP($C$6,'Input data'!$C$9:$BB$26,18,FALSE))</f>
        <v>-1.0092100000000048E-2</v>
      </c>
      <c r="V64" s="1">
        <f>IF(V$55&lt;=$C$6,0,-HLOOKUP(V$55,'Input data'!$C$9:$BB$26,18,FALSE)+HLOOKUP($C$6,'Input data'!$C$9:$BB$26,18,FALSE))</f>
        <v>-1.1009600000000064E-2</v>
      </c>
      <c r="W64" s="1">
        <f>IF(W$55&lt;=$C$6,0,-HLOOKUP(W$55,'Input data'!$C$9:$BB$26,18,FALSE)+HLOOKUP($C$6,'Input data'!$C$9:$BB$26,18,FALSE))</f>
        <v>-1.1927000000000021E-2</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-5.0836960000000007</v>
      </c>
      <c r="E66" s="48">
        <f t="shared" si="22"/>
        <v>-5.7078360000000066</v>
      </c>
      <c r="F66" s="48">
        <f t="shared" si="22"/>
        <v>-2.3350280000000025</v>
      </c>
      <c r="G66" s="48">
        <f t="shared" si="22"/>
        <v>-2.2845987621098458</v>
      </c>
      <c r="H66" s="48">
        <f t="shared" si="22"/>
        <v>-1.6143618422705508</v>
      </c>
      <c r="I66" s="48">
        <f t="shared" si="22"/>
        <v>-1.5387425059559701</v>
      </c>
      <c r="J66" s="48">
        <f t="shared" si="22"/>
        <v>-1.471109331207622</v>
      </c>
      <c r="K66" s="48">
        <f t="shared" si="22"/>
        <v>-1.7237153000675904</v>
      </c>
      <c r="L66" s="48">
        <f t="shared" si="22"/>
        <v>-1.5355780669427801</v>
      </c>
      <c r="M66" s="48">
        <f t="shared" si="22"/>
        <v>-1.2693630217911474</v>
      </c>
      <c r="N66" s="48">
        <f t="shared" si="22"/>
        <v>-1.170127132598761</v>
      </c>
      <c r="O66" s="48">
        <f t="shared" si="22"/>
        <v>-1.089554603577183</v>
      </c>
      <c r="P66" s="48">
        <f t="shared" si="22"/>
        <v>-0.98332434711031969</v>
      </c>
      <c r="Q66" s="48">
        <f t="shared" si="22"/>
        <v>-0.86171447444304228</v>
      </c>
      <c r="R66" s="48">
        <f t="shared" si="22"/>
        <v>-0.74617218443489897</v>
      </c>
      <c r="S66" s="48">
        <f t="shared" si="22"/>
        <v>-0.66867612210384753</v>
      </c>
      <c r="T66" s="48">
        <f t="shared" si="22"/>
        <v>-0.56909528415783506</v>
      </c>
      <c r="U66" s="48">
        <f t="shared" ref="U66:W66" si="23">SUM(U67:U70)</f>
        <v>-0.46485187388592408</v>
      </c>
      <c r="V66" s="48">
        <f t="shared" si="23"/>
        <v>-0.34949170747795644</v>
      </c>
      <c r="W66" s="48">
        <f t="shared" si="23"/>
        <v>-0.25509921133509272</v>
      </c>
    </row>
    <row r="67" spans="2:23" outlineLevel="1" x14ac:dyDescent="0.2">
      <c r="B67" s="79" t="s">
        <v>115</v>
      </c>
      <c r="C67" s="34"/>
      <c r="D67" s="34">
        <f>C56*D35/100*(1/(1+D32/100))</f>
        <v>1.1211705707570556</v>
      </c>
      <c r="E67" s="34">
        <f t="shared" ref="E67:W67" si="24">D56*E35/100*(1/(1+E32/100))</f>
        <v>1.2444369200439294</v>
      </c>
      <c r="F67" s="34">
        <f t="shared" si="24"/>
        <v>1.4137507336400548</v>
      </c>
      <c r="G67" s="34">
        <f t="shared" si="24"/>
        <v>1.4019903431218039</v>
      </c>
      <c r="H67" s="34">
        <f t="shared" si="24"/>
        <v>1.4411663430778228</v>
      </c>
      <c r="I67" s="34">
        <f t="shared" si="24"/>
        <v>1.4652888458319282</v>
      </c>
      <c r="J67" s="34">
        <f t="shared" si="24"/>
        <v>1.4799057792034562</v>
      </c>
      <c r="K67" s="34">
        <f t="shared" si="24"/>
        <v>1.4749706260243551</v>
      </c>
      <c r="L67" s="34">
        <f t="shared" si="24"/>
        <v>1.480415907755539</v>
      </c>
      <c r="M67" s="34">
        <f t="shared" si="24"/>
        <v>1.5004836127668442</v>
      </c>
      <c r="N67" s="34">
        <f t="shared" si="24"/>
        <v>1.5268260108685736</v>
      </c>
      <c r="O67" s="34">
        <f t="shared" si="24"/>
        <v>1.5589700902570141</v>
      </c>
      <c r="P67" s="34">
        <f t="shared" si="24"/>
        <v>1.5974788234556412</v>
      </c>
      <c r="Q67" s="34">
        <f t="shared" si="24"/>
        <v>1.640551495471533</v>
      </c>
      <c r="R67" s="34">
        <f t="shared" si="24"/>
        <v>1.6903242350740284</v>
      </c>
      <c r="S67" s="34">
        <f t="shared" si="24"/>
        <v>1.7452348089304339</v>
      </c>
      <c r="T67" s="34">
        <f t="shared" si="24"/>
        <v>1.8055822038413032</v>
      </c>
      <c r="U67" s="34">
        <f t="shared" si="24"/>
        <v>1.8736226457709504</v>
      </c>
      <c r="V67" s="34">
        <f t="shared" si="24"/>
        <v>1.950987787837543</v>
      </c>
      <c r="W67" s="34">
        <f t="shared" si="24"/>
        <v>2.0351643733437976</v>
      </c>
    </row>
    <row r="68" spans="2:23" outlineLevel="1" x14ac:dyDescent="0.2">
      <c r="B68" s="79" t="s">
        <v>116</v>
      </c>
      <c r="C68" s="34"/>
      <c r="D68" s="34">
        <f t="shared" ref="D68:W68" si="25">-C56*(D23/100)*(1/(1+D32/100))</f>
        <v>-1.6773450405293622</v>
      </c>
      <c r="E68" s="34">
        <f t="shared" si="25"/>
        <v>-1.0397933543702287</v>
      </c>
      <c r="F68" s="34">
        <f t="shared" si="25"/>
        <v>-1.5342798415845837</v>
      </c>
      <c r="G68" s="34">
        <f t="shared" si="25"/>
        <v>-1.728778262537231</v>
      </c>
      <c r="H68" s="34">
        <f t="shared" si="25"/>
        <v>-1.1766317180991304</v>
      </c>
      <c r="I68" s="34">
        <f t="shared" si="25"/>
        <v>-1.1956822486466958</v>
      </c>
      <c r="J68" s="34">
        <f t="shared" si="25"/>
        <v>-1.2165607716031899</v>
      </c>
      <c r="K68" s="34">
        <f t="shared" si="25"/>
        <v>-1.5431849965594693</v>
      </c>
      <c r="L68" s="34">
        <f t="shared" si="25"/>
        <v>-1.4372914919500264</v>
      </c>
      <c r="M68" s="34">
        <f t="shared" si="25"/>
        <v>-1.2532779035300081</v>
      </c>
      <c r="N68" s="34">
        <f t="shared" si="25"/>
        <v>-1.2301108161146128</v>
      </c>
      <c r="O68" s="34">
        <f t="shared" si="25"/>
        <v>-1.2240814308156167</v>
      </c>
      <c r="P68" s="34">
        <f t="shared" si="25"/>
        <v>-1.1782071419840046</v>
      </c>
      <c r="Q68" s="34">
        <f t="shared" si="25"/>
        <v>-1.1156057941487971</v>
      </c>
      <c r="R68" s="34">
        <f t="shared" si="25"/>
        <v>-1.0584965870821508</v>
      </c>
      <c r="S68" s="34">
        <f t="shared" si="25"/>
        <v>-1.0382959907925438</v>
      </c>
      <c r="T68" s="34">
        <f t="shared" si="25"/>
        <v>-0.99680941929100009</v>
      </c>
      <c r="U68" s="34">
        <f t="shared" si="25"/>
        <v>-0.95226950115646647</v>
      </c>
      <c r="V68" s="34">
        <f t="shared" si="25"/>
        <v>-0.89940845535746861</v>
      </c>
      <c r="W68" s="34">
        <f t="shared" si="25"/>
        <v>-0.86917558179604826</v>
      </c>
    </row>
    <row r="69" spans="2:23" outlineLevel="1" x14ac:dyDescent="0.2">
      <c r="B69" s="79" t="s">
        <v>117</v>
      </c>
      <c r="C69" s="34"/>
      <c r="D69" s="34">
        <f t="shared" ref="D69:T69" si="26">-C56*D41/100*(1/(1+D41/100))</f>
        <v>-4.5275223150308781</v>
      </c>
      <c r="E69" s="34">
        <f t="shared" si="26"/>
        <v>-5.9124787907447942</v>
      </c>
      <c r="F69" s="34">
        <f t="shared" si="26"/>
        <v>-2.214498839681593</v>
      </c>
      <c r="G69" s="34">
        <f t="shared" si="26"/>
        <v>-1.957811134439946</v>
      </c>
      <c r="H69" s="34">
        <f t="shared" si="26"/>
        <v>-1.8788964672492432</v>
      </c>
      <c r="I69" s="34">
        <f t="shared" si="26"/>
        <v>-1.8083491031412025</v>
      </c>
      <c r="J69" s="34">
        <f t="shared" si="26"/>
        <v>-1.7344543388078884</v>
      </c>
      <c r="K69" s="34">
        <f t="shared" si="26"/>
        <v>-1.6555009295324763</v>
      </c>
      <c r="L69" s="34">
        <f t="shared" si="26"/>
        <v>-1.5787024827482927</v>
      </c>
      <c r="M69" s="34">
        <f t="shared" si="26"/>
        <v>-1.5165687310279834</v>
      </c>
      <c r="N69" s="34">
        <f t="shared" si="26"/>
        <v>-1.4668423273527218</v>
      </c>
      <c r="O69" s="34">
        <f t="shared" si="26"/>
        <v>-1.4244432630185804</v>
      </c>
      <c r="P69" s="34">
        <f t="shared" si="26"/>
        <v>-1.4025960285819563</v>
      </c>
      <c r="Q69" s="34">
        <f t="shared" si="26"/>
        <v>-1.3866601757657782</v>
      </c>
      <c r="R69" s="34">
        <f t="shared" si="26"/>
        <v>-1.3779998324267766</v>
      </c>
      <c r="S69" s="34">
        <f t="shared" si="26"/>
        <v>-1.3756149402417377</v>
      </c>
      <c r="T69" s="34">
        <f t="shared" si="26"/>
        <v>-1.3778680687081382</v>
      </c>
      <c r="U69" s="34">
        <f t="shared" ref="U69" si="27">-T56*U41/100*(1/(1+U41/100))</f>
        <v>-1.386205018500408</v>
      </c>
      <c r="V69" s="34">
        <f t="shared" ref="V69" si="28">-U56*V41/100*(1/(1+V41/100))</f>
        <v>-1.4010710399580308</v>
      </c>
      <c r="W69" s="34">
        <f t="shared" ref="W69" si="29">-V56*W41/100*(1/(1+W41/100))</f>
        <v>-1.4210880028828421</v>
      </c>
    </row>
    <row r="70" spans="2:23" outlineLevel="1" x14ac:dyDescent="0.2">
      <c r="B70" s="79" t="s">
        <v>118</v>
      </c>
      <c r="C70" s="49"/>
      <c r="D70" s="49">
        <f>'Baseline NFPC'!D70</f>
        <v>7.8480318421725315E-7</v>
      </c>
      <c r="E70" s="49">
        <f>'Baseline NFPC'!E70</f>
        <v>-7.7492891303876377E-7</v>
      </c>
      <c r="F70" s="49">
        <f>'Baseline NFPC'!F70</f>
        <v>-5.237388078782601E-8</v>
      </c>
      <c r="G70" s="49">
        <f>'Baseline NFPC'!G70</f>
        <v>2.917455272921643E-7</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1.330379</v>
      </c>
      <c r="E71" s="50">
        <f>'Input data'!E16</f>
        <v>1.2366870000000001</v>
      </c>
      <c r="F71" s="50">
        <f>'Input data'!F16</f>
        <v>-0.20000970000000001</v>
      </c>
      <c r="G71" s="50">
        <f>'Input data'!G16</f>
        <v>-0.2000015</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1.3303780000000001</v>
      </c>
      <c r="E72" s="34">
        <f t="shared" si="30"/>
        <v>1.2366839999999999</v>
      </c>
      <c r="F72" s="34">
        <f t="shared" si="30"/>
        <v>-0.20000760000000001</v>
      </c>
      <c r="G72" s="34">
        <f t="shared" si="30"/>
        <v>-0.2</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9.9999999991773336E-7</v>
      </c>
      <c r="E73" s="49">
        <f t="shared" si="31"/>
        <v>3.0000000001972893E-6</v>
      </c>
      <c r="F73" s="49">
        <f t="shared" si="31"/>
        <v>-2.1000000000048757E-6</v>
      </c>
      <c r="G73" s="49">
        <f t="shared" si="31"/>
        <v>-1.4999999999876223E-6</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0</v>
      </c>
      <c r="Q75" s="51">
        <f t="shared" si="33"/>
        <v>1</v>
      </c>
      <c r="R75" s="51">
        <f t="shared" si="33"/>
        <v>1</v>
      </c>
      <c r="S75" s="51">
        <f t="shared" si="33"/>
        <v>1</v>
      </c>
      <c r="T75" s="51">
        <f t="shared" si="33"/>
        <v>1</v>
      </c>
      <c r="U75" s="51">
        <f t="shared" si="33"/>
        <v>1</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74.367679999999993</v>
      </c>
      <c r="D83" s="110">
        <f>D56</f>
        <v>72.475954801911442</v>
      </c>
      <c r="E83" s="110">
        <f>E56</f>
        <v>69.219569977397526</v>
      </c>
      <c r="F83" s="110">
        <f>F56</f>
        <v>68.073476569055487</v>
      </c>
      <c r="G83" s="110">
        <f>G56</f>
        <v>66.450398022510456</v>
      </c>
      <c r="H83" s="110">
        <f>G83*(1+H97/100)*H42-H59-H60+H61+H62+H63+H64+H65+H71</f>
        <v>65.072880781600858</v>
      </c>
      <c r="I83" s="110">
        <f t="shared" ref="I83:S83" si="40">H83*(1+I97/100)*I42-I59-I60+I61+I62+I63+I64+I65+I71</f>
        <v>63.52490017138598</v>
      </c>
      <c r="J83" s="110">
        <f t="shared" si="40"/>
        <v>61.733292809090877</v>
      </c>
      <c r="K83" s="110">
        <f t="shared" si="40"/>
        <v>59.958424879905465</v>
      </c>
      <c r="L83" s="110">
        <f t="shared" si="40"/>
        <v>58.685221374373448</v>
      </c>
      <c r="M83" s="110">
        <f t="shared" si="40"/>
        <v>57.853517260189484</v>
      </c>
      <c r="N83" s="110">
        <f t="shared" si="40"/>
        <v>57.284963381394313</v>
      </c>
      <c r="O83" s="110">
        <f t="shared" si="40"/>
        <v>57.006006477817138</v>
      </c>
      <c r="P83" s="110">
        <f t="shared" si="40"/>
        <v>56.964222330706818</v>
      </c>
      <c r="Q83" s="110">
        <f t="shared" si="40"/>
        <v>57.22399101486964</v>
      </c>
      <c r="R83" s="110">
        <f t="shared" si="40"/>
        <v>57.753276425558894</v>
      </c>
      <c r="S83" s="110">
        <f t="shared" si="40"/>
        <v>58.491570398579199</v>
      </c>
      <c r="T83" s="110">
        <f>S83*(1+T97/100)*T42-T59-T60+T61+T62+T63+T64+T65+T71</f>
        <v>59.508008729209386</v>
      </c>
      <c r="U83" s="110">
        <f>T83*(1+U97/100)*U42-U59-U60+U61+U62+U63+U64+U65+U71</f>
        <v>60.831443890775937</v>
      </c>
      <c r="V83" s="110">
        <f t="shared" ref="V83:W83" si="41">U83*(1+V97/100)*V42-V59-V60+V61+V62+V63+V64+V65+V71</f>
        <v>62.411989414163692</v>
      </c>
      <c r="W83" s="110">
        <f t="shared" si="41"/>
        <v>64.228142340346992</v>
      </c>
    </row>
    <row r="84" spans="2:24" x14ac:dyDescent="0.2">
      <c r="B84" s="26" t="s">
        <v>127</v>
      </c>
      <c r="C84" s="34"/>
      <c r="D84" s="254">
        <f>'Input data'!C66*$D$83</f>
        <v>64.060964244374262</v>
      </c>
      <c r="E84" s="34">
        <f t="shared" ref="E84" si="42">IF(E83=0,0,IF(E79=1,D83*E42/((1+E23/100)*(1+E41/100))-E85-E86,IF(AND(E79=0,E80=1),(1-D89-E38*D90)*D83*E42/((1+E23/100)*(1+E41/100)),E83)))</f>
        <v>62.18233333201178</v>
      </c>
      <c r="F84" s="34">
        <f t="shared" ref="F84" si="43">IF(F83=0,0,IF(F79=1,E83*F42/((1+F23/100)*(1+F41/100))-F85-F86,IF(AND(F79=0,F80=1),(1-E89-F38*E90)*E83*F42/((1+F23/100)*(1+F41/100)),F83)))</f>
        <v>60.507217589514426</v>
      </c>
      <c r="G84" s="34">
        <f>IF(G83=0,0,IF(G79=1,F83*G42/((1+G23/100)*(1+G41/100))-G85-G86,IF(AND(G79=0,G80=1),(1-F89-G38*F90)*F83*G42/((1+G23/100)*(1+G41/100)),G83)))</f>
        <v>59.437354139717577</v>
      </c>
      <c r="H84" s="34">
        <f t="shared" ref="H84:W84" si="44">IF(H83=0,0,IF(H79=1,G83*H42/((1+H23/100)*(1+H41/100))-H85-H86,IF(AND(H79=0,H80=1),(1-G89-H38*G90)*G83*H42/((1+H23/100)*(1+H41/100)),H83)))</f>
        <v>58.458440753875998</v>
      </c>
      <c r="I84" s="34">
        <f t="shared" si="44"/>
        <v>57.176529407960757</v>
      </c>
      <c r="J84" s="34">
        <f t="shared" si="44"/>
        <v>55.743130935855639</v>
      </c>
      <c r="K84" s="34">
        <f t="shared" si="44"/>
        <v>53.813909604672659</v>
      </c>
      <c r="L84" s="34">
        <f t="shared" si="44"/>
        <v>52.29733067919863</v>
      </c>
      <c r="M84" s="34">
        <f t="shared" si="44"/>
        <v>51.300343323980933</v>
      </c>
      <c r="N84" s="34">
        <f t="shared" si="44"/>
        <v>50.550229996540054</v>
      </c>
      <c r="O84" s="34">
        <f t="shared" si="44"/>
        <v>50.019343244960751</v>
      </c>
      <c r="P84" s="34">
        <f t="shared" si="44"/>
        <v>49.81325277323009</v>
      </c>
      <c r="Q84" s="34">
        <f t="shared" si="44"/>
        <v>49.833824609779896</v>
      </c>
      <c r="R84" s="34">
        <f t="shared" si="44"/>
        <v>50.11809877180832</v>
      </c>
      <c r="S84" s="34">
        <f t="shared" si="44"/>
        <v>50.609025323353521</v>
      </c>
      <c r="T84" s="34">
        <f t="shared" si="44"/>
        <v>51.306048160330967</v>
      </c>
      <c r="U84" s="34">
        <f t="shared" si="44"/>
        <v>52.254135509456958</v>
      </c>
      <c r="V84" s="34">
        <f t="shared" si="44"/>
        <v>53.483914152386632</v>
      </c>
      <c r="W84" s="34">
        <f t="shared" si="44"/>
        <v>54.922950490891431</v>
      </c>
      <c r="X84" s="34"/>
    </row>
    <row r="85" spans="2:24" x14ac:dyDescent="0.2">
      <c r="B85" s="105" t="s">
        <v>128</v>
      </c>
      <c r="C85" s="34"/>
      <c r="D85" s="254">
        <f>'Input data'!C67*$D$83</f>
        <v>2.6359801746474867</v>
      </c>
      <c r="E85" s="34">
        <f t="shared" ref="E85" si="45">IF(E83=0,0,IF(E79=1,E38*D83*D90*E42/((1+E23/100)*(1+E41/100)),IF(AND(E79=0,E80=1),(E38*D83*D90*E42/((1+E23/100)*(1+E41/100)))*(1-ABS(E83-D83*E42/((1+E23/100)*(1+E41/100)))/((E38*D83*D90*E42/((1+E23/100)*(1+E41/100)))+(D89*D83*E42/((1+E23/100)*(1+E41/100))))),0)))</f>
        <v>1.9322374906716235</v>
      </c>
      <c r="F85" s="34">
        <f t="shared" ref="F85" si="46">IF(F83=0,0,IF(F79=1,F38*E83*E90*F42/((1+F23/100)*(1+F41/100)),IF(AND(F79=0,F80=1),(F38*E83*E90*F42/((1+F23/100)*(1+F41/100)))*(1-ABS(F83-E83*F42/((1+F23/100)*(1+F41/100)))/((F38*E83*E90*F42/((1+F23/100)*(1+F41/100)))+(E89*E83*F42/((1+F23/100)*(1+F41/100))))),0)))</f>
        <v>3.5267677960902559</v>
      </c>
      <c r="G85" s="34">
        <f t="shared" ref="G85" si="47">IF(G83=0,0,IF(G79=1,G38*F83*F90*G42/((1+G23/100)*(1+G41/100)),IF(AND(G79=0,G80=1),(G38*F83*F90*G42/((1+G23/100)*(1+G41/100)))*(1-ABS(G83-F83*G42/((1+G23/100)*(1+G41/100)))/((G38*F83*F90*G42/((1+G23/100)*(1+G41/100)))+(F89*F83*G42/((1+G23/100)*(1+G41/100))))),0)))</f>
        <v>3.5173052919428565</v>
      </c>
      <c r="H85" s="34">
        <f t="shared" ref="H85:W85" si="48">IF(H83=0,0,IF(H79=1,H38*G83*G90*H42/((1+H23/100)*(1+H41/100)),IF(AND(H79=0,H80=1),(H38*G83*G90*H42/((1+H23/100)*(1+H41/100)))*(1-ABS(H83-G83*H42/((1+H23/100)*(1+H41/100)))/((H38*G83*G90*H42/((1+H23/100)*(1+H41/100)))+(G89*G83*H42/((1+H23/100)*(1+H41/100))))),0)))</f>
        <v>3.51148917275659</v>
      </c>
      <c r="I85" s="34">
        <f t="shared" si="48"/>
        <v>3.4855429921019603</v>
      </c>
      <c r="J85" s="34">
        <f t="shared" si="48"/>
        <v>3.4480212825136909</v>
      </c>
      <c r="K85" s="34">
        <f t="shared" si="48"/>
        <v>3.3769036952649198</v>
      </c>
      <c r="L85" s="34">
        <f t="shared" si="48"/>
        <v>3.3286718587514761</v>
      </c>
      <c r="M85" s="34">
        <f t="shared" si="48"/>
        <v>3.3113334508303978</v>
      </c>
      <c r="N85" s="34">
        <f t="shared" si="48"/>
        <v>3.308436509486238</v>
      </c>
      <c r="O85" s="34">
        <f t="shared" si="48"/>
        <v>3.3188103251075391</v>
      </c>
      <c r="P85" s="34">
        <f t="shared" si="48"/>
        <v>3.3051361114710995</v>
      </c>
      <c r="Q85" s="34">
        <f t="shared" si="48"/>
        <v>3.3065010638898773</v>
      </c>
      <c r="R85" s="34">
        <f t="shared" si="48"/>
        <v>3.3253628074253907</v>
      </c>
      <c r="S85" s="34">
        <f t="shared" si="48"/>
        <v>3.3579360481446558</v>
      </c>
      <c r="T85" s="34">
        <f t="shared" si="48"/>
        <v>3.4041838882425868</v>
      </c>
      <c r="U85" s="34">
        <f t="shared" si="48"/>
        <v>3.4670899937460846</v>
      </c>
      <c r="V85" s="34">
        <f t="shared" si="48"/>
        <v>3.5486864680892967</v>
      </c>
      <c r="W85" s="34">
        <f t="shared" si="48"/>
        <v>3.644167303074386</v>
      </c>
    </row>
    <row r="86" spans="2:24" x14ac:dyDescent="0.2">
      <c r="B86" s="105" t="s">
        <v>129</v>
      </c>
      <c r="C86" s="34"/>
      <c r="D86" s="254">
        <f>'Input data'!C68*$D$83</f>
        <v>1.4658670971213696</v>
      </c>
      <c r="E86" s="34">
        <f t="shared" ref="E86" si="49">IF(E83=0,0,IF(E79=1,(1-D90)*D83*E42/((1+E23/100)*(1+E41/100)),IF(AND(E79=0,E80=1),(D89*D83*E42/((1+E23/100)*(1+E41/100)))*(1-ABS(E83-D83*E42/((1+E23/100)*(1+E41/100)))/((E38*D83*D90*E42/((1+E23/100)*(1+E41/100)))+(D89*D83*E42/((1+E23/100)*(1+E41/100))))),0)))</f>
        <v>1.4091118341130224</v>
      </c>
      <c r="F86" s="34">
        <f t="shared" ref="F86" si="50">IF(F83=0,0,IF(F79=1,(1-E90)*E83*F42/((1+F23/100)*(1+F41/100)),IF(AND(F79=0,F80=1),(E89*E83*F42/((1+F23/100)*(1+F41/100)))*(1-ABS(F83-E83*F42/((1+F23/100)*(1+F41/100)))/((F38*E83*E90*F42/((1+F23/100)*(1+F41/100)))+(E89*E83*F42/((1+F23/100)*(1+F41/100))))),0)))</f>
        <v>1.4367993634475367</v>
      </c>
      <c r="G86" s="34">
        <f t="shared" ref="G86" si="51">IF(G83=0,0,IF(G79=1,(1-F90)*F83*G42/((1+G23/100)*(1+G41/100)),IF(AND(G79=0,G80=1),(F89*F83*G42/((1+G23/100)*(1+G41/100)))*(1-ABS(G83-F83*G42/((1+G23/100)*(1+G41/100)))/((G38*F83*F90*G42/((1+G23/100)*(1+G41/100)))+(F89*F83*G42/((1+G23/100)*(1+G41/100))))),0)))</f>
        <v>1.4322277404178707</v>
      </c>
      <c r="H86" s="34">
        <f t="shared" ref="H86:W86" si="52">IF(H83=0,0,IF(H79=1,(1-G90)*G83*H42/((1+H23/100)*(1+H41/100)),IF(AND(H79=0,H80=1),(G89*G83*H42/((1+H23/100)*(1+H41/100)))*(1-ABS(H83-G83*H42/((1+H23/100)*(1+H41/100)))/((H38*G83*G90*H42/((1+H23/100)*(1+H41/100)))+(G89*G83*H42/((1+H23/100)*(1+H41/100))))),0)))</f>
        <v>1.4249399105294887</v>
      </c>
      <c r="I86" s="34">
        <f t="shared" si="52"/>
        <v>1.4067770297502442</v>
      </c>
      <c r="J86" s="34">
        <f t="shared" si="52"/>
        <v>1.3827328426055636</v>
      </c>
      <c r="K86" s="34">
        <f t="shared" si="52"/>
        <v>1.3437935830613588</v>
      </c>
      <c r="L86" s="34">
        <f t="shared" si="52"/>
        <v>1.3164283672570303</v>
      </c>
      <c r="M86" s="34">
        <f t="shared" si="52"/>
        <v>1.3036979650041265</v>
      </c>
      <c r="N86" s="34">
        <f t="shared" si="52"/>
        <v>1.2978976106958613</v>
      </c>
      <c r="O86" s="34">
        <f t="shared" si="52"/>
        <v>1.2982851174918144</v>
      </c>
      <c r="P86" s="34">
        <f t="shared" si="52"/>
        <v>1.3068144225499805</v>
      </c>
      <c r="Q86" s="34">
        <f t="shared" si="52"/>
        <v>1.3216306871224739</v>
      </c>
      <c r="R86" s="34">
        <f t="shared" si="52"/>
        <v>1.344033016126992</v>
      </c>
      <c r="S86" s="34">
        <f t="shared" si="52"/>
        <v>1.3724041230264383</v>
      </c>
      <c r="T86" s="34">
        <f t="shared" si="52"/>
        <v>1.4066608620065089</v>
      </c>
      <c r="U86" s="34">
        <f t="shared" si="52"/>
        <v>1.4483087063494648</v>
      </c>
      <c r="V86" s="34">
        <f t="shared" si="52"/>
        <v>1.4983637749845151</v>
      </c>
      <c r="W86" s="34">
        <f t="shared" si="52"/>
        <v>1.5546080355189877</v>
      </c>
    </row>
    <row r="87" spans="2:24" x14ac:dyDescent="0.2">
      <c r="B87" s="105" t="s">
        <v>130</v>
      </c>
      <c r="C87" s="34"/>
      <c r="D87" s="254">
        <f>'Input data'!C69*$D$83</f>
        <v>4.2203872796227522</v>
      </c>
      <c r="E87" s="34">
        <f>IF(E83=0,0,IF(E79=1,'Input data'!$C$58*(E83-D83*E42/((1+E23/100)*(1+E41/100))),0))</f>
        <v>3.5859302377484346</v>
      </c>
      <c r="F87" s="34">
        <f>IF(F83=0,0,IF(F79=1,'Input data'!$C$58*(F83-E83*F42/((1+F23/100)*(1+F41/100))),0))</f>
        <v>2.5252586151279912</v>
      </c>
      <c r="G87" s="34">
        <f>IF(G83=0,0,IF(G79=1,'Input data'!$C$58*(G83-F83*G42/((1+G23/100)*(1+G41/100))),0))</f>
        <v>2.0021189264187753</v>
      </c>
      <c r="H87" s="34">
        <f>IF(H83=0,0,IF(H79=1,'Input data'!$C$58*(H83-G83*H42/((1+H23/100)*(1+H41/100))),0))</f>
        <v>1.6280881052285947</v>
      </c>
      <c r="I87" s="34">
        <f>IF(I83=0,0,IF(I79=1,'Input data'!$C$58*(I83-H83*I42/((1+I23/100)*(1+I41/100))),0))</f>
        <v>1.4127314847503287</v>
      </c>
      <c r="J87" s="34">
        <f>IF(J83=0,0,IF(J79=1,'Input data'!$C$58*(J83-I83*J42/((1+J23/100)*(1+J41/100))),0))</f>
        <v>1.1249139763202334</v>
      </c>
      <c r="K87" s="34">
        <f>IF(K83=0,0,IF(K79=1,'Input data'!$C$58*(K83-J83*K42/((1+K23/100)*(1+K41/100))),0))</f>
        <v>1.381457702916963</v>
      </c>
      <c r="L87" s="34">
        <f>IF(L83=0,0,IF(L79=1,'Input data'!$C$58*(L83-K83*L42/((1+L23/100)*(1+L41/100))),0))</f>
        <v>1.6909403613600482</v>
      </c>
      <c r="M87" s="34">
        <f>IF(M83=0,0,IF(M79=1,'Input data'!$C$58*(M83-L83*M42/((1+M23/100)*(1+M41/100))),0))</f>
        <v>1.8804804546218774</v>
      </c>
      <c r="N87" s="34">
        <f>IF(N83=0,0,IF(N79=1,'Input data'!$C$58*(N83-M83*N42/((1+N23/100)*(1+N41/100))),0))</f>
        <v>2.0650768324690469</v>
      </c>
      <c r="O87" s="34">
        <f>IF(O83=0,0,IF(O79=1,'Input data'!$C$58*(O83-N83*O42/((1+O23/100)*(1+O41/100))),0))</f>
        <v>2.2990703050155346</v>
      </c>
      <c r="P87" s="34">
        <f>IF(P83=0,0,IF(P79=1,'Input data'!$C$58*(P83-O83*P42/((1+P23/100)*(1+P41/100))),0))</f>
        <v>2.4634801606850107</v>
      </c>
      <c r="Q87" s="34">
        <f>IF(Q83=0,0,IF(Q79=1,'Input data'!$C$58*(Q83-P83*Q42/((1+Q23/100)*(1+Q41/100))),0))</f>
        <v>2.679860808677009</v>
      </c>
      <c r="R87" s="34">
        <f>IF(R83=0,0,IF(R79=1,'Input data'!$C$58*(R83-Q83*R42/((1+R23/100)*(1+R41/100))),0))</f>
        <v>2.877546261811597</v>
      </c>
      <c r="S87" s="34">
        <f>IF(S83=0,0,IF(S79=1,'Input data'!$C$58*(S83-R83*S42/((1+S23/100)*(1+S41/100))),0))</f>
        <v>3.0584230255130764</v>
      </c>
      <c r="T87" s="34">
        <f>IF(T83=0,0,IF(T79=1,'Input data'!$C$58*(T83-S83*T42/((1+T23/100)*(1+T41/100))),0))</f>
        <v>3.2902260536861188</v>
      </c>
      <c r="U87" s="34">
        <f>IF(U83=0,0,IF(U79=1,'Input data'!$C$58*(U83-T83*U42/((1+U23/100)*(1+U41/100))),0))</f>
        <v>3.5529634739154132</v>
      </c>
      <c r="V87" s="34">
        <f>IF(V83=0,0,IF(V79=1,'Input data'!$C$58*(V83-U83*V42/((1+V23/100)*(1+V41/100))),0))</f>
        <v>3.7655598671668042</v>
      </c>
      <c r="W87" s="34">
        <f>IF(W83=0,0,IF(W79=1,'Input data'!$C$58*(W83-V83*W42/((1+W23/100)*(1+W41/100))),0))</f>
        <v>3.9842456919642264</v>
      </c>
    </row>
    <row r="88" spans="2:24" x14ac:dyDescent="0.2">
      <c r="B88" s="107" t="s">
        <v>131</v>
      </c>
      <c r="C88" s="49"/>
      <c r="D88" s="255">
        <f>'Input data'!C70*$D$83</f>
        <v>9.275580614555777E-2</v>
      </c>
      <c r="E88" s="49">
        <f>IF(E83=0,0,IF(E79=1,'Input data'!$C$57*(E83-D83*E42/((1+E23/100)*(1+E41/100))),0))</f>
        <v>0.1099570828526675</v>
      </c>
      <c r="F88" s="49">
        <f>IF(F83=0,0,IF(F79=1,'Input data'!$C$57*(F83-E83*F42/((1+F23/100)*(1+F41/100))),0))</f>
        <v>7.7433204875281353E-2</v>
      </c>
      <c r="G88" s="49">
        <f>IF(G83=0,0,IF(G79=1,'Input data'!$C$57*(G83-F83*G42/((1+G23/100)*(1+G41/100))),0))</f>
        <v>6.1391924013377043E-2</v>
      </c>
      <c r="H88" s="49">
        <f>IF(H83=0,0,IF(H79=1,'Input data'!$C$57*(H83-G83*H42/((1+H23/100)*(1+H41/100))),0))</f>
        <v>4.9922839210187087E-2</v>
      </c>
      <c r="I88" s="49">
        <f>IF(I83=0,0,IF(I79=1,'Input data'!$C$57*(I83-H83*I42/((1+I23/100)*(1+I41/100))),0))</f>
        <v>4.3319256822687106E-2</v>
      </c>
      <c r="J88" s="49">
        <f>IF(J83=0,0,IF(J79=1,'Input data'!$C$57*(J83-I83*J42/((1+J23/100)*(1+J41/100))),0))</f>
        <v>3.4493771795748189E-2</v>
      </c>
      <c r="K88" s="49">
        <f>IF(K83=0,0,IF(K79=1,'Input data'!$C$57*(K83-J83*K42/((1+K23/100)*(1+K41/100))),0))</f>
        <v>4.2360293989565513E-2</v>
      </c>
      <c r="L88" s="49">
        <f>IF(L83=0,0,IF(L79=1,'Input data'!$C$57*(L83-K83*L42/((1+L23/100)*(1+L41/100))),0))</f>
        <v>5.1850107806260683E-2</v>
      </c>
      <c r="M88" s="49">
        <f>IF(M83=0,0,IF(M79=1,'Input data'!$C$57*(M83-L83*M42/((1+M23/100)*(1+M41/100))),0))</f>
        <v>5.7662065752151818E-2</v>
      </c>
      <c r="N88" s="49">
        <f>IF(N83=0,0,IF(N79=1,'Input data'!$C$57*(N83-M83*N42/((1+N23/100)*(1+N41/100))),0))</f>
        <v>6.3322432203114412E-2</v>
      </c>
      <c r="O88" s="49">
        <f>IF(O83=0,0,IF(O79=1,'Input data'!$C$57*(O83-N83*O42/((1+O23/100)*(1+O41/100))),0))</f>
        <v>7.0497485241494934E-2</v>
      </c>
      <c r="P88" s="49">
        <f>IF(P83=0,0,IF(P79=1,'Input data'!$C$57*(P83-O83*P42/((1+P23/100)*(1+P41/100))),0))</f>
        <v>7.5538862770633555E-2</v>
      </c>
      <c r="Q88" s="49">
        <f>IF(Q83=0,0,IF(Q79=1,'Input data'!$C$57*(Q83-P83*Q42/((1+Q23/100)*(1+Q41/100))),0))</f>
        <v>8.2173845400387441E-2</v>
      </c>
      <c r="R88" s="49">
        <f>IF(R83=0,0,IF(R79=1,'Input data'!$C$57*(R83-Q83*R42/((1+R23/100)*(1+R41/100))),0))</f>
        <v>8.8235568386592356E-2</v>
      </c>
      <c r="S88" s="49">
        <f>IF(S83=0,0,IF(S79=1,'Input data'!$C$57*(S83-R83*S42/((1+S23/100)*(1+S41/100))),0))</f>
        <v>9.3781878541508767E-2</v>
      </c>
      <c r="T88" s="49">
        <f>IF(T83=0,0,IF(T79=1,'Input data'!$C$57*(T83-S83*T42/((1+T23/100)*(1+T41/100))),0))</f>
        <v>0.10088976494320473</v>
      </c>
      <c r="U88" s="49">
        <f>IF(U83=0,0,IF(U79=1,'Input data'!$C$57*(U83-T83*U42/((1+U23/100)*(1+U41/100))),0))</f>
        <v>0.10894620730801444</v>
      </c>
      <c r="V88" s="49">
        <f>IF(V83=0,0,IF(V79=1,'Input data'!$C$57*(V83-U83*V42/((1+V23/100)*(1+V41/100))),0))</f>
        <v>0.11546515153644407</v>
      </c>
      <c r="W88" s="49">
        <f>IF(W83=0,0,IF(W79=1,'Input data'!$C$57*(W83-V83*W42/((1+W23/100)*(1+W41/100))),0))</f>
        <v>0.12217081889796316</v>
      </c>
    </row>
    <row r="89" spans="2:24" x14ac:dyDescent="0.2">
      <c r="B89" s="26" t="s">
        <v>73</v>
      </c>
      <c r="C89" s="34"/>
      <c r="D89" s="260">
        <f>'Baseline NFPC'!$D$93</f>
        <v>2.1505382130210027E-2</v>
      </c>
      <c r="E89" s="34">
        <f t="shared" ref="E89:G89" si="53">IF(E83&lt;&gt;0,(E86+E88)/(E84+E85+E86+E87+E88),0)</f>
        <v>2.1945656661284028E-2</v>
      </c>
      <c r="F89" s="34">
        <f t="shared" si="53"/>
        <v>2.2244090424656679E-2</v>
      </c>
      <c r="G89" s="34">
        <f t="shared" si="53"/>
        <v>2.2477211707976161E-2</v>
      </c>
      <c r="H89" s="34">
        <f t="shared" ref="H89:W89" si="54">IF(H83&lt;&gt;0,(H86+H88)/(H84+H85+H86+H87+H88),0)</f>
        <v>2.266478342475178E-2</v>
      </c>
      <c r="I89" s="34">
        <f t="shared" si="54"/>
        <v>2.2827210789165622E-2</v>
      </c>
      <c r="J89" s="34">
        <f t="shared" si="54"/>
        <v>2.2957249644597125E-2</v>
      </c>
      <c r="K89" s="34">
        <f t="shared" si="54"/>
        <v>2.3118583915894053E-2</v>
      </c>
      <c r="L89" s="34">
        <f t="shared" si="54"/>
        <v>2.331555446190731E-2</v>
      </c>
      <c r="M89" s="34">
        <f t="shared" si="54"/>
        <v>2.3531154115206506E-2</v>
      </c>
      <c r="N89" s="34">
        <f t="shared" si="54"/>
        <v>2.3762257363004424E-2</v>
      </c>
      <c r="O89" s="34">
        <f t="shared" si="54"/>
        <v>2.4011199649039555E-2</v>
      </c>
      <c r="P89" s="34">
        <f t="shared" si="54"/>
        <v>2.426704392268075E-2</v>
      </c>
      <c r="Q89" s="34">
        <f t="shared" si="54"/>
        <v>2.4531748094222983E-2</v>
      </c>
      <c r="R89" s="34">
        <f t="shared" si="54"/>
        <v>2.4799780603957725E-2</v>
      </c>
      <c r="S89" s="34">
        <f t="shared" si="54"/>
        <v>2.5066620567321299E-2</v>
      </c>
      <c r="T89" s="34">
        <f t="shared" si="54"/>
        <v>2.5333575415198449E-2</v>
      </c>
      <c r="U89" s="34">
        <f t="shared" si="54"/>
        <v>2.5599506012935702E-2</v>
      </c>
      <c r="V89" s="34">
        <f t="shared" si="54"/>
        <v>2.5857674810069731E-2</v>
      </c>
      <c r="W89" s="34">
        <f t="shared" si="54"/>
        <v>2.6106606750848339E-2</v>
      </c>
    </row>
    <row r="90" spans="2:24" x14ac:dyDescent="0.2">
      <c r="B90" s="35" t="s">
        <v>74</v>
      </c>
      <c r="C90" s="49"/>
      <c r="D90" s="261">
        <f>'Baseline NFPC'!$D$94</f>
        <v>0.97849461786978997</v>
      </c>
      <c r="E90" s="49">
        <f t="shared" ref="E90:G90" si="55">IF(E83&lt;&gt;0,(E84+E85+E87)/(E84+E85+E86+E87+E88),1)</f>
        <v>0.97805434333871588</v>
      </c>
      <c r="F90" s="49">
        <f t="shared" si="55"/>
        <v>0.97775590957534342</v>
      </c>
      <c r="G90" s="49">
        <f t="shared" si="55"/>
        <v>0.97752278829202377</v>
      </c>
      <c r="H90" s="49">
        <f t="shared" ref="H90:W90" si="56">IF(H83&lt;&gt;0,(H84+H85+H87)/(H84+H85+H86+H87+H88),1)</f>
        <v>0.97733521657524813</v>
      </c>
      <c r="I90" s="49">
        <f t="shared" si="56"/>
        <v>0.97717278921083439</v>
      </c>
      <c r="J90" s="49">
        <f t="shared" si="56"/>
        <v>0.97704275035540289</v>
      </c>
      <c r="K90" s="49">
        <f t="shared" si="56"/>
        <v>0.97688141608410595</v>
      </c>
      <c r="L90" s="49">
        <f t="shared" si="56"/>
        <v>0.97668444553809264</v>
      </c>
      <c r="M90" s="49">
        <f t="shared" si="56"/>
        <v>0.97646884588479343</v>
      </c>
      <c r="N90" s="49">
        <f t="shared" si="56"/>
        <v>0.97623774263699559</v>
      </c>
      <c r="O90" s="49">
        <f t="shared" si="56"/>
        <v>0.97598880035096036</v>
      </c>
      <c r="P90" s="49">
        <f t="shared" si="56"/>
        <v>0.97573295607731914</v>
      </c>
      <c r="Q90" s="49">
        <f t="shared" si="56"/>
        <v>0.97546825190577702</v>
      </c>
      <c r="R90" s="49">
        <f t="shared" si="56"/>
        <v>0.97520021939604229</v>
      </c>
      <c r="S90" s="49">
        <f t="shared" si="56"/>
        <v>0.97493337943267877</v>
      </c>
      <c r="T90" s="49">
        <f t="shared" si="56"/>
        <v>0.97466642458480157</v>
      </c>
      <c r="U90" s="49">
        <f t="shared" si="56"/>
        <v>0.9744004939870643</v>
      </c>
      <c r="V90" s="49">
        <f t="shared" si="56"/>
        <v>0.97414232518993027</v>
      </c>
      <c r="W90" s="49">
        <f t="shared" si="56"/>
        <v>0.9738933932491517</v>
      </c>
    </row>
    <row r="92" spans="2:24" x14ac:dyDescent="0.2">
      <c r="B92" s="113" t="s">
        <v>132</v>
      </c>
      <c r="C92" s="51"/>
      <c r="D92" s="51"/>
      <c r="E92" s="52">
        <f t="shared" ref="E92:G92" si="57">E94+E95</f>
        <v>1.8992170000000002</v>
      </c>
      <c r="F92" s="52">
        <f t="shared" si="57"/>
        <v>2.1593610000000001</v>
      </c>
      <c r="G92" s="52">
        <f t="shared" si="57"/>
        <v>2.1774469999999999</v>
      </c>
      <c r="H92" s="52">
        <f t="shared" ref="H92:W92" si="58">H94+H95</f>
        <v>2.2733169841339604</v>
      </c>
      <c r="I92" s="52">
        <f t="shared" si="58"/>
        <v>2.3607475558071473</v>
      </c>
      <c r="J92" s="52">
        <f t="shared" si="58"/>
        <v>2.4431415909904963</v>
      </c>
      <c r="K92" s="52">
        <f t="shared" si="58"/>
        <v>2.5198266539528995</v>
      </c>
      <c r="L92" s="52">
        <f t="shared" si="58"/>
        <v>2.5998466946730963</v>
      </c>
      <c r="M92" s="52">
        <f t="shared" si="58"/>
        <v>2.6834902202638746</v>
      </c>
      <c r="N92" s="52">
        <f t="shared" si="58"/>
        <v>2.7681673710449219</v>
      </c>
      <c r="O92" s="52">
        <f t="shared" si="58"/>
        <v>2.8533523189020897</v>
      </c>
      <c r="P92" s="52">
        <f t="shared" si="58"/>
        <v>2.9351820964953697</v>
      </c>
      <c r="Q92" s="52">
        <f t="shared" si="58"/>
        <v>3.0122889537853337</v>
      </c>
      <c r="R92" s="52">
        <f t="shared" si="58"/>
        <v>3.0852373293542845</v>
      </c>
      <c r="S92" s="52">
        <f t="shared" si="58"/>
        <v>3.1536950113804827</v>
      </c>
      <c r="T92" s="52">
        <f t="shared" si="58"/>
        <v>3.2175377327437298</v>
      </c>
      <c r="U92" s="52">
        <f t="shared" si="58"/>
        <v>3.2773096224700158</v>
      </c>
      <c r="V92" s="52">
        <f t="shared" si="58"/>
        <v>3.3332575466480092</v>
      </c>
      <c r="W92" s="52">
        <f t="shared" si="58"/>
        <v>3.3850731083732755</v>
      </c>
    </row>
    <row r="93" spans="2:24" x14ac:dyDescent="0.2">
      <c r="B93" s="33" t="s">
        <v>133</v>
      </c>
      <c r="C93" s="97"/>
      <c r="D93" s="97"/>
      <c r="E93" s="266">
        <f>((E35*D83)-(E37*(D86+D88)))/(D84+D85+D87)</f>
        <v>1.8655734180047423</v>
      </c>
      <c r="F93" s="266">
        <f t="shared" ref="F93:G93" si="59">((F35*E83)-(F37*(E86+E88)))/(E84+E85+E87)</f>
        <v>2.1278389377203197</v>
      </c>
      <c r="G93" s="266">
        <f t="shared" si="59"/>
        <v>2.1629112942398399</v>
      </c>
      <c r="H93" s="34">
        <f t="shared" ref="H93:W93" si="60">IF(G83&gt;0,(G93*G84+H36*(G87+G85))/(G84+G85+G87),H36)</f>
        <v>2.2610893811019768</v>
      </c>
      <c r="I93" s="34">
        <f t="shared" si="60"/>
        <v>2.3507048143959435</v>
      </c>
      <c r="J93" s="34">
        <f t="shared" si="60"/>
        <v>2.4352135973293265</v>
      </c>
      <c r="K93" s="34">
        <f t="shared" si="60"/>
        <v>2.5139194541218632</v>
      </c>
      <c r="L93" s="34">
        <f t="shared" si="60"/>
        <v>2.5960578116081749</v>
      </c>
      <c r="M93" s="34">
        <f t="shared" si="60"/>
        <v>2.6819344478748568</v>
      </c>
      <c r="N93" s="34">
        <f>IF(M83&gt;0,(M93*M84+N36*(M87+M85))/(M84+M85+M87),N36)</f>
        <v>2.7689093970959457</v>
      </c>
      <c r="O93" s="34">
        <f>IF(N83&gt;0,(N93*N84+O36*(N87+N85))/(N84+N85+N87),O36)</f>
        <v>2.8564499659631388</v>
      </c>
      <c r="P93" s="34">
        <f t="shared" si="60"/>
        <v>2.9412193242479079</v>
      </c>
      <c r="Q93" s="34">
        <f t="shared" si="60"/>
        <v>3.0212127154765667</v>
      </c>
      <c r="R93" s="34">
        <f t="shared" si="60"/>
        <v>3.0970084457756126</v>
      </c>
      <c r="S93" s="34">
        <f t="shared" si="60"/>
        <v>3.1682621584386856</v>
      </c>
      <c r="T93" s="34">
        <f t="shared" si="60"/>
        <v>3.2348405452570375</v>
      </c>
      <c r="U93" s="34">
        <f t="shared" si="60"/>
        <v>3.2972987183460201</v>
      </c>
      <c r="V93" s="34">
        <f t="shared" si="60"/>
        <v>3.3558856449091077</v>
      </c>
      <c r="W93" s="34">
        <f t="shared" si="60"/>
        <v>3.4102745290773764</v>
      </c>
    </row>
    <row r="94" spans="2:24" x14ac:dyDescent="0.2">
      <c r="B94" s="26" t="s">
        <v>134</v>
      </c>
      <c r="C94" s="97"/>
      <c r="D94" s="97"/>
      <c r="E94" s="34">
        <f t="shared" ref="E94:F94" si="61">(E93*(D84+D85+D87)+E37*(D86+D88))/D83</f>
        <v>1.8992170000000002</v>
      </c>
      <c r="F94" s="34">
        <f t="shared" si="61"/>
        <v>2.1593610000000001</v>
      </c>
      <c r="G94" s="34">
        <f>(G93*(F84+F85+F87)+G37*(F86+F88))/F83</f>
        <v>2.1774469999999999</v>
      </c>
      <c r="H94" s="34">
        <f t="shared" ref="H94:W94" si="62">(H93*(G84+G85+G87)+H37*(G86+G88))/G83</f>
        <v>2.2733169841339604</v>
      </c>
      <c r="I94" s="34">
        <f t="shared" si="62"/>
        <v>2.3607475558071473</v>
      </c>
      <c r="J94" s="34">
        <f t="shared" si="62"/>
        <v>2.4431415909904963</v>
      </c>
      <c r="K94" s="34">
        <f t="shared" si="62"/>
        <v>2.5198266539528995</v>
      </c>
      <c r="L94" s="34">
        <f t="shared" si="62"/>
        <v>2.5998466946730963</v>
      </c>
      <c r="M94" s="34">
        <f t="shared" si="62"/>
        <v>2.6834902202638746</v>
      </c>
      <c r="N94" s="34">
        <f>(N93*(M84+M85+M87)+N37*(M86+M88))/M83</f>
        <v>2.7681673710449219</v>
      </c>
      <c r="O94" s="34">
        <f>(O93*(N84+N85+N87)+O37*(N86+N88))/N83</f>
        <v>2.8533523189020897</v>
      </c>
      <c r="P94" s="34">
        <f t="shared" si="62"/>
        <v>2.9351820964953697</v>
      </c>
      <c r="Q94" s="34">
        <f t="shared" si="62"/>
        <v>3.0122889537853337</v>
      </c>
      <c r="R94" s="34">
        <f t="shared" si="62"/>
        <v>3.0852373293542845</v>
      </c>
      <c r="S94" s="34">
        <f t="shared" si="62"/>
        <v>3.1536950113804827</v>
      </c>
      <c r="T94" s="34">
        <f t="shared" si="62"/>
        <v>3.2175377327437298</v>
      </c>
      <c r="U94" s="34">
        <f t="shared" si="62"/>
        <v>3.2773096224700158</v>
      </c>
      <c r="V94" s="34">
        <f t="shared" si="62"/>
        <v>3.3332575466480092</v>
      </c>
      <c r="W94" s="34">
        <f t="shared" si="62"/>
        <v>3.3850731083732755</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-10.011406646168163</v>
      </c>
      <c r="D97" s="52">
        <f t="shared" si="63"/>
        <v>-8.3434999660608522</v>
      </c>
      <c r="E97" s="52">
        <f t="shared" si="63"/>
        <v>-7.87548814040675</v>
      </c>
      <c r="F97" s="52">
        <f t="shared" si="63"/>
        <v>-3.373363845497146</v>
      </c>
      <c r="G97" s="52">
        <f>((1+G92/100)/((1+G23/100)*(1+G41/100))-1)*100</f>
        <v>-3.3560781217598312</v>
      </c>
      <c r="H97" s="52">
        <f t="shared" si="63"/>
        <v>-2.4294238865562257</v>
      </c>
      <c r="I97" s="52">
        <f t="shared" si="63"/>
        <v>-2.3646448220424165</v>
      </c>
      <c r="J97" s="52">
        <f t="shared" si="63"/>
        <v>-2.3157995167858103</v>
      </c>
      <c r="K97" s="52">
        <f t="shared" si="63"/>
        <v>-2.7921972433872067</v>
      </c>
      <c r="L97" s="52">
        <f t="shared" si="63"/>
        <v>-2.5610713924164807</v>
      </c>
      <c r="M97" s="52">
        <f t="shared" si="63"/>
        <v>-2.1630028686326908</v>
      </c>
      <c r="N97" s="52">
        <f t="shared" si="63"/>
        <v>-2.0225687011150018</v>
      </c>
      <c r="O97" s="52">
        <f t="shared" si="63"/>
        <v>-1.9019905735526144</v>
      </c>
      <c r="P97" s="52">
        <f t="shared" si="63"/>
        <v>-1.7249486639499434</v>
      </c>
      <c r="Q97" s="52">
        <f t="shared" si="63"/>
        <v>-1.5127292872363585</v>
      </c>
      <c r="R97" s="52">
        <f t="shared" si="63"/>
        <v>-1.3039499189090309</v>
      </c>
      <c r="S97" s="52">
        <f t="shared" si="63"/>
        <v>-1.1578150426941325</v>
      </c>
      <c r="T97" s="52">
        <f t="shared" si="63"/>
        <v>-0.97295264989440966</v>
      </c>
      <c r="U97" s="52">
        <f>((1+U92/100)/((1+U23/100)*(1+U41/100))-1)*100</f>
        <v>-0.78115850927096275</v>
      </c>
      <c r="V97" s="52">
        <f t="shared" ref="V97:W97" si="64">((1+V92/100)/((1+V23/100)*(1+V41/100))-1)*100</f>
        <v>-0.57452476075606773</v>
      </c>
      <c r="W97" s="52">
        <f t="shared" si="64"/>
        <v>-0.40873430526666699</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74.36767578125</v>
      </c>
      <c r="D103" s="34">
        <v>72.4759521484375</v>
      </c>
      <c r="E103" s="34">
        <v>69.219566345214844</v>
      </c>
      <c r="F103" s="34">
        <v>68.073471069335938</v>
      </c>
      <c r="G103" s="34">
        <v>66.450393676757813</v>
      </c>
      <c r="H103" s="34">
        <v>65.072891235351563</v>
      </c>
      <c r="I103" s="34">
        <v>63.524909973144531</v>
      </c>
      <c r="J103" s="34">
        <v>61.733310699462891</v>
      </c>
      <c r="K103" s="34">
        <v>59.958431243896484</v>
      </c>
      <c r="L103" s="34">
        <v>58.685214996337891</v>
      </c>
      <c r="M103" s="34">
        <v>57.853500366210938</v>
      </c>
      <c r="N103" s="34">
        <v>57.284934997558594</v>
      </c>
      <c r="O103" s="34">
        <v>57.005954742431641</v>
      </c>
      <c r="P103" s="34">
        <v>56.964149475097656</v>
      </c>
      <c r="Q103" s="34">
        <v>57.223896026611328</v>
      </c>
      <c r="R103" s="34">
        <v>57.753154754638672</v>
      </c>
      <c r="S103" s="34">
        <v>58.491428375244141</v>
      </c>
      <c r="T103" s="34">
        <v>59.507843017578125</v>
      </c>
      <c r="U103" s="34">
        <v>60.831264495849609</v>
      </c>
      <c r="V103" s="34">
        <v>62.411788940429688</v>
      </c>
      <c r="W103" s="34">
        <v>64.227920532226563</v>
      </c>
      <c r="X103" s="34"/>
      <c r="Y103" s="34"/>
      <c r="Z103" s="34"/>
    </row>
    <row r="104" spans="1:54" s="5" customFormat="1" ht="12.75" x14ac:dyDescent="0.2">
      <c r="A104" s="26"/>
      <c r="B104" s="26" t="s">
        <v>132</v>
      </c>
      <c r="C104" s="1">
        <v>1.7379093170166016</v>
      </c>
      <c r="D104" s="1">
        <v>1.644842267036438</v>
      </c>
      <c r="E104" s="1">
        <v>1.899216890335083</v>
      </c>
      <c r="F104" s="1">
        <v>2.1593606472015381</v>
      </c>
      <c r="G104" s="1">
        <v>2.1774470806121826</v>
      </c>
      <c r="H104" s="1">
        <v>2.2733170986175537</v>
      </c>
      <c r="I104" s="1">
        <v>2.3607478141784668</v>
      </c>
      <c r="J104" s="1">
        <v>2.4431421756744385</v>
      </c>
      <c r="K104" s="1">
        <v>2.5198273658752441</v>
      </c>
      <c r="L104" s="1">
        <v>2.5998470783233643</v>
      </c>
      <c r="M104" s="1">
        <v>2.683490514755249</v>
      </c>
      <c r="N104" s="1">
        <v>2.7681674957275391</v>
      </c>
      <c r="O104" s="1">
        <v>2.8533520698547363</v>
      </c>
      <c r="P104" s="1">
        <v>2.9351816177368164</v>
      </c>
      <c r="Q104" s="1">
        <v>3.0122883319854736</v>
      </c>
      <c r="R104" s="1">
        <v>3.0852367877960205</v>
      </c>
      <c r="S104" s="1">
        <v>3.1536941528320313</v>
      </c>
      <c r="T104" s="1">
        <v>3.2175369262695313</v>
      </c>
      <c r="U104" s="99">
        <v>3.2773087024688721</v>
      </c>
      <c r="V104" s="99">
        <v>3.3332564830780029</v>
      </c>
      <c r="W104" s="99">
        <v>3.3850719928741455</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74.36767578125</v>
      </c>
      <c r="D108" s="34">
        <v>72.4759521484375</v>
      </c>
      <c r="E108" s="34">
        <v>69.219566345214844</v>
      </c>
      <c r="F108" s="34">
        <v>68.073471069335938</v>
      </c>
      <c r="G108" s="34">
        <v>66.48193359375</v>
      </c>
      <c r="H108" s="34">
        <v>65.303741455078125</v>
      </c>
      <c r="I108" s="34">
        <v>64.125503540039063</v>
      </c>
      <c r="J108" s="34">
        <v>62.873928070068359</v>
      </c>
      <c r="K108" s="34">
        <v>61.488330841064453</v>
      </c>
      <c r="L108" s="34">
        <v>59.970359802246094</v>
      </c>
      <c r="M108" s="34">
        <v>58.323776245117188</v>
      </c>
      <c r="N108" s="34">
        <v>56.803287506103516</v>
      </c>
      <c r="O108" s="34">
        <v>55.780567169189453</v>
      </c>
      <c r="P108" s="34">
        <v>55.185344696044922</v>
      </c>
      <c r="Q108" s="34">
        <v>54.91229248046875</v>
      </c>
      <c r="R108" s="34">
        <v>54.927696228027344</v>
      </c>
      <c r="S108" s="34">
        <v>55.132900238037109</v>
      </c>
      <c r="T108" s="34">
        <v>55.615360260009766</v>
      </c>
      <c r="U108" s="34">
        <v>56.402080535888672</v>
      </c>
      <c r="V108" s="34">
        <v>57.440784454345703</v>
      </c>
      <c r="W108" s="34">
        <v>58.710056304931641</v>
      </c>
      <c r="X108" s="34"/>
      <c r="Y108" s="34"/>
      <c r="Z108" s="34"/>
    </row>
    <row r="109" spans="1:54" x14ac:dyDescent="0.2">
      <c r="B109" s="26" t="s">
        <v>132</v>
      </c>
      <c r="C109" s="1">
        <v>1.7379093170166016</v>
      </c>
      <c r="D109" s="1">
        <v>1.644842267036438</v>
      </c>
      <c r="E109" s="1">
        <v>1.899216890335083</v>
      </c>
      <c r="F109" s="1">
        <v>2.1593606472015381</v>
      </c>
      <c r="G109" s="1">
        <v>2.1774470806121826</v>
      </c>
      <c r="H109" s="1">
        <v>2.2751572132110596</v>
      </c>
      <c r="I109" s="1">
        <v>2.3663482666015625</v>
      </c>
      <c r="J109" s="1">
        <v>2.4544417858123779</v>
      </c>
      <c r="K109" s="1">
        <v>2.5387897491455078</v>
      </c>
      <c r="L109" s="1">
        <v>2.6191058158874512</v>
      </c>
      <c r="M109" s="1">
        <v>2.6953029632568359</v>
      </c>
      <c r="N109" s="1">
        <v>2.7673943042755127</v>
      </c>
      <c r="O109" s="1">
        <v>2.8423030376434326</v>
      </c>
      <c r="P109" s="1">
        <v>2.9172813892364502</v>
      </c>
      <c r="Q109" s="1">
        <v>2.9891276359558105</v>
      </c>
      <c r="R109" s="1">
        <v>3.0583188533782959</v>
      </c>
      <c r="S109" s="1">
        <v>3.124351978302002</v>
      </c>
      <c r="T109" s="1">
        <v>3.1867315769195557</v>
      </c>
      <c r="U109" s="1">
        <v>3.2459225654602051</v>
      </c>
      <c r="V109" s="1">
        <v>3.3020608425140381</v>
      </c>
      <c r="W109" s="1">
        <v>3.3546311855316162</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SI</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-4.6923700000000004</v>
      </c>
      <c r="D12" s="2">
        <f>'Input data'!D13</f>
        <v>-3.2634059999999998</v>
      </c>
      <c r="E12" s="2">
        <f>'Input data'!E13</f>
        <v>-1.555059</v>
      </c>
      <c r="F12" s="2">
        <f>'Input data'!F13</f>
        <v>-1.244675</v>
      </c>
      <c r="G12" s="3">
        <f>'Adjust. no safeguard'!G12</f>
        <v>-0.80467500000000003</v>
      </c>
      <c r="H12" s="3">
        <f>'Adjust. no safeguard'!H12</f>
        <v>-0.36467500000000003</v>
      </c>
      <c r="I12" s="3">
        <f>'Adjust. no safeguard'!I12</f>
        <v>7.5324999999999975E-2</v>
      </c>
      <c r="J12" s="3">
        <f>'Adjust. no safeguard'!J12</f>
        <v>0.51532500000000003</v>
      </c>
      <c r="K12" s="119">
        <f>'Adjust. no safeguard'!K12</f>
        <v>0.51532500000000003</v>
      </c>
      <c r="L12" s="119">
        <f>'Adjust. no safeguard'!L12</f>
        <v>0.51532500000000003</v>
      </c>
      <c r="M12" s="119">
        <f>'Adjust. no safeguard'!M12</f>
        <v>0.51532500000000003</v>
      </c>
      <c r="N12" s="119">
        <f>IF(N10&lt;=$C$6,M12+'Criteria results'!$F$6,M12)</f>
        <v>0.51532500000000003</v>
      </c>
      <c r="O12" s="119">
        <f>IF(O10&lt;=$C$6,N12+'Criteria results'!$F$6,N12)</f>
        <v>0.51532500000000003</v>
      </c>
      <c r="P12" s="119">
        <f>IF(P10&lt;=$C$6,O12+'Criteria results'!$F$6,O12)</f>
        <v>0.51532500000000003</v>
      </c>
      <c r="Q12" s="119">
        <f>IF(Q10&lt;=$C$6,P12+'Criteria results'!$F$6,P12)</f>
        <v>0.51532500000000003</v>
      </c>
      <c r="R12" s="119">
        <f>IF(R10&lt;=$C$6,Q12+'Criteria results'!$F$6,Q12)</f>
        <v>0.51532500000000003</v>
      </c>
      <c r="S12" s="119">
        <f>IF(S10&lt;=$C$6,R12+'Criteria results'!$F$6,R12)</f>
        <v>0.51532500000000003</v>
      </c>
      <c r="T12" s="119">
        <f>IF(T10&lt;=$C$6,S12+'Criteria results'!$F$6,S12)</f>
        <v>0.51532500000000003</v>
      </c>
      <c r="U12" s="119">
        <f>IF(U10&lt;=$C$6,T12+'Criteria results'!$F$6,T12)</f>
        <v>0.51532500000000003</v>
      </c>
      <c r="V12" s="119">
        <f>IF(V10&lt;=$C$6,U12+'Criteria results'!$F$6,U12)</f>
        <v>0.51532500000000003</v>
      </c>
      <c r="W12" s="119">
        <f>IF(W10&lt;=$C$6,V12+'Criteria results'!$F$6,V12)</f>
        <v>0.51532500000000003</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2">
        <f>'Input data'!D14</f>
        <v>0</v>
      </c>
      <c r="E13" s="2">
        <f>'Input data'!E14</f>
        <v>-0.40577220000000003</v>
      </c>
      <c r="F13" s="2">
        <f>'Input data'!F14</f>
        <v>-0.65215420000000002</v>
      </c>
      <c r="G13" s="2">
        <f>'Input data'!G14</f>
        <v>-0.47665220000000003</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-1.7974220000000001</v>
      </c>
      <c r="D14" s="2">
        <f>'Input data'!D15</f>
        <v>1.3303780000000001</v>
      </c>
      <c r="E14" s="2">
        <f>'Input data'!E15</f>
        <v>1.2366839999999999</v>
      </c>
      <c r="F14" s="2">
        <f>'Input data'!F15</f>
        <v>-0.20000760000000001</v>
      </c>
      <c r="G14" s="2">
        <f>'Input data'!G15</f>
        <v>-0.2</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22.025169999999999</v>
      </c>
      <c r="E17" s="101">
        <f>'Input data'!E20</f>
        <v>22.097189999999998</v>
      </c>
      <c r="F17" s="101">
        <f>'Input data'!F20</f>
        <v>22.199599999999997</v>
      </c>
      <c r="G17" s="101">
        <f>'Input data'!G20</f>
        <v>22.362199999999998</v>
      </c>
      <c r="H17" s="101">
        <f>'Input data'!H20</f>
        <v>22.526659999999996</v>
      </c>
      <c r="I17" s="101">
        <f>'Input data'!I20</f>
        <v>22.697230000000001</v>
      </c>
      <c r="J17" s="101">
        <f>'Input data'!J20</f>
        <v>22.903919999999999</v>
      </c>
      <c r="K17" s="101">
        <f>'Input data'!K20</f>
        <v>23.074540000000002</v>
      </c>
      <c r="L17" s="101">
        <f>'Input data'!L20</f>
        <v>23.2395</v>
      </c>
      <c r="M17" s="101">
        <f>'Input data'!M20</f>
        <v>23.397020000000001</v>
      </c>
      <c r="N17" s="101">
        <f>'Input data'!N20</f>
        <v>23.54317</v>
      </c>
      <c r="O17" s="101">
        <f>'Input data'!O20</f>
        <v>23.73443</v>
      </c>
      <c r="P17" s="101">
        <f>'Input data'!P20</f>
        <v>23.866290000000003</v>
      </c>
      <c r="Q17" s="101">
        <f>'Input data'!Q20</f>
        <v>24.047149999999998</v>
      </c>
      <c r="R17" s="101">
        <f>'Input data'!R20</f>
        <v>24.20204</v>
      </c>
      <c r="S17" s="101">
        <f>'Input data'!S20</f>
        <v>24.33447</v>
      </c>
      <c r="T17" s="101">
        <f>'Input data'!T20</f>
        <v>24.513950000000001</v>
      </c>
      <c r="U17" s="101">
        <f>'Input data'!U20</f>
        <v>24.71762</v>
      </c>
      <c r="V17" s="101">
        <f>'Input data'!V20</f>
        <v>24.860289999999999</v>
      </c>
      <c r="W17" s="101">
        <f>'Input data'!W20</f>
        <v>25.002420000000001</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0.60368690000000003</v>
      </c>
      <c r="D18" s="101">
        <f>'Input data'!D26</f>
        <v>0.70882940000000005</v>
      </c>
      <c r="E18" s="101">
        <f>'Input data'!E26</f>
        <v>0.70974680000000001</v>
      </c>
      <c r="F18" s="101">
        <f>'Input data'!F26</f>
        <v>0.71066430000000003</v>
      </c>
      <c r="G18" s="101">
        <f>'Input data'!G26</f>
        <v>0.71158169999999998</v>
      </c>
      <c r="H18" s="101">
        <f>'Input data'!H26</f>
        <v>0.71249910000000005</v>
      </c>
      <c r="I18" s="101">
        <f>'Input data'!I26</f>
        <v>0.71341659999999996</v>
      </c>
      <c r="J18" s="101">
        <f>'Input data'!J26</f>
        <v>0.71433409999999997</v>
      </c>
      <c r="K18" s="101">
        <f>'Input data'!K26</f>
        <v>0.71525159999999999</v>
      </c>
      <c r="L18" s="101">
        <f>'Input data'!L26</f>
        <v>0.71616900000000006</v>
      </c>
      <c r="M18" s="101">
        <f>'Input data'!M26</f>
        <v>0.71708649999999996</v>
      </c>
      <c r="N18" s="101">
        <f>'Input data'!N26</f>
        <v>0.71800399999999998</v>
      </c>
      <c r="O18" s="101">
        <f>'Input data'!O26</f>
        <v>0.71892140000000004</v>
      </c>
      <c r="P18" s="101">
        <f>'Input data'!P26</f>
        <v>0.71983889999999995</v>
      </c>
      <c r="Q18" s="101">
        <f>'Input data'!Q26</f>
        <v>0.72075639999999996</v>
      </c>
      <c r="R18" s="101">
        <f>'Input data'!R26</f>
        <v>0.72167380000000003</v>
      </c>
      <c r="S18" s="101">
        <f>'Input data'!S26</f>
        <v>0.72259130000000005</v>
      </c>
      <c r="T18" s="101">
        <f>'Input data'!T26</f>
        <v>0.7235087</v>
      </c>
      <c r="U18" s="101">
        <f>'Input data'!U26</f>
        <v>0.72442620000000002</v>
      </c>
      <c r="V18" s="101">
        <f>'Input data'!V26</f>
        <v>0.72534370000000004</v>
      </c>
      <c r="W18" s="101">
        <f>'Input data'!W26</f>
        <v>0.72626109999999999</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47.094990000000003</v>
      </c>
      <c r="D22" s="100">
        <f>IF(AND(D50&gt;1,C50&gt;1),IF(AND(D50&gt;0,C50&gt;0),D27*(D51/100+1),0)+IF(D50&gt;0,C22*(1+D52/100),0)-C22*(1+'Input data'!D30/100),IF(D50=1,D27,C22*(1+D52/100)))</f>
        <v>48.253899746320805</v>
      </c>
      <c r="E22" s="100">
        <f>IF(AND(E50&gt;1,D50&gt;1),IF(AND(E50&gt;0,D50&gt;0),E27*(E51/100+1),0)+IF(E50&gt;0,D22*(1+E52/100),0)-D22*(1+'Input data'!E30/100),IF(E50=1,E27,D22*(1+E52/100)))</f>
        <v>49.019639433778181</v>
      </c>
      <c r="F22" s="100">
        <f>IF(AND(F50&gt;1,E50&gt;1),IF(AND(F50&gt;0,E50&gt;0),F27*(F51/100+1),0)+IF(F50&gt;0,E22*(1+F52/100),0)-E22*(1+'Input data'!F30/100),IF(F50=1,F27,E22*(1+F52/100)))</f>
        <v>50.16839360546382</v>
      </c>
      <c r="G22" s="34">
        <f>IF(AND(G50&gt;1,F50&gt;1),IF(AND(G50&gt;0,F50&gt;0),G27*(G51/100+1),0)+IF(G50&gt;0,F22*(1+G52/100),0)-F22*(1+'Input data'!G30/100),IF(G50=1,G27,F22*(1+G52/100)))</f>
        <v>51.515407448511489</v>
      </c>
      <c r="H22" s="34">
        <f>IF(AND(H50&gt;1,G50&gt;1),IF(AND(H50&gt;0,G50&gt;0),H27*(H51/100+1),0)+IF(H50&gt;0,G22*(1+H52/100),0)-G22*(1+'Input data'!H30/100),IF(H50=1,H27,G22*(1+H52/100)))</f>
        <v>52.471552047126728</v>
      </c>
      <c r="I22" s="34">
        <f>IF(AND(I50&gt;1,H50&gt;1),IF(AND(I50&gt;0,H50&gt;0),I27*(I51/100+1),0)+IF(I50&gt;0,H22*(1+I52/100),0)-H22*(1+'Input data'!I30/100),IF(I50=1,I27,H22*(1+I52/100)))</f>
        <v>53.482353824798402</v>
      </c>
      <c r="J22" s="34">
        <f>IF(AND(J50&gt;1,I50&gt;1),IF(AND(J50&gt;0,I50&gt;0),J27*(J51/100+1),0)+IF(J50&gt;0,I22*(1+J52/100),0)-I22*(1+'Input data'!J30/100),IF(J50=1,J27,I22*(1+J52/100)))</f>
        <v>54.556488884333646</v>
      </c>
      <c r="K22" s="4">
        <f>IF(AND(K50&gt;1,J50&gt;1),IF(AND(K50&gt;0,J50&gt;0),K27*(K51/100+1),0)+IF(K50&gt;0,J22*(1+K52/100),0)-J22*(1+'Adverse (r-g)'!K24/100),IF(K50=1,K27,J22*(1+K52/100)))</f>
        <v>55.619340259158555</v>
      </c>
      <c r="L22" s="4">
        <f>IF(AND(L50&gt;1,K50&gt;1),IF(AND(L50&gt;0,K50&gt;0),L27*(L51/100+1),0)+IF(L50&gt;0,K22*(1+L52/100),0)-K22*(1+'Adverse (r-g)'!L24/100),IF(L50=1,L27,K22*(1+L52/100)))</f>
        <v>56.701604400260756</v>
      </c>
      <c r="M22" s="4">
        <f>IF(AND(M50&gt;1,L50&gt;1),IF(AND(M50&gt;0,L50&gt;0),M27*(M51/100+1),0)+IF(M50&gt;0,L22*(1+M52/100),0)-L22*(1+'Adverse (r-g)'!M24/100),IF(M50=1,M27,L22*(1+M52/100)))</f>
        <v>57.792315862543468</v>
      </c>
      <c r="N22" s="4">
        <f>IF(AND(N50&gt;1,M50&gt;1),IF(AND(N50&gt;0,M50&gt;0),N27*(N51/100+1),0)+IF(N50&gt;0,M22*(1+N52/100),0)-M22*(1+'Adverse (r-g)'!N24/100),IF(N50=1,N27,M22*(1+N52/100)))</f>
        <v>58.815824711547016</v>
      </c>
      <c r="O22" s="4">
        <f>IF(AND(O50&gt;1,N50&gt;1),IF(AND(O50&gt;0,N50&gt;0),O27*(O51/100+1),0)+IF(O50&gt;0,N22*(1+O52/100),0)-N22*(1+'Adverse (r-g)'!O24/100),IF(O50=1,O27,N22*(1+O52/100)))</f>
        <v>59.863466885265268</v>
      </c>
      <c r="P22" s="4">
        <f>IF(AND(P50&gt;1,O50&gt;1),IF(AND(P50&gt;0,O50&gt;0),P27*(P51/100+1),0)+IF(P50&gt;0,O22*(1+P52/100),0)-O22*(1+'Adverse (r-g)'!P24/100),IF(P50=1,P27,O22*(1+P52/100)))</f>
        <v>60.860085256029869</v>
      </c>
      <c r="Q22" s="4">
        <f>IF(AND(Q50&gt;1,P50&gt;1),IF(AND(Q50&gt;0,P50&gt;0),Q27*(Q51/100+1),0)+IF(Q50&gt;0,P22*(1+Q52/100),0)-P22*(1+'Adverse (r-g)'!Q24/100),IF(Q50=1,Q27,P22*(1+Q52/100)))</f>
        <v>61.802450727945313</v>
      </c>
      <c r="R22" s="4">
        <f>IF(AND(R50&gt;1,Q50&gt;1),IF(AND(R50&gt;0,Q50&gt;0),R27*(R51/100+1),0)+IF(R50&gt;0,Q22*(1+R52/100),0)-Q22*(1+'Adverse (r-g)'!R24/100),IF(R50=1,R27,Q22*(1+R52/100)))</f>
        <v>62.687464294467524</v>
      </c>
      <c r="S22" s="4">
        <f>IF(AND(S50&gt;1,R50&gt;1),IF(AND(S50&gt;0,R50&gt;0),S27*(S51/100+1),0)+IF(S50&gt;0,R22*(1+S52/100),0)-R22*(1+'Adverse (r-g)'!S24/100),IF(S50=1,S27,R22*(1+S52/100)))</f>
        <v>63.550190491825845</v>
      </c>
      <c r="T22" s="4">
        <f>IF(AND(T50&gt;1,S50&gt;1),IF(AND(T50&gt;0,S50&gt;0),T27*(T51/100+1),0)+IF(T50&gt;0,S22*(1+T52/100),0)-S22*(1+'Adverse (r-g)'!T24/100),IF(T50=1,T27,S22*(1+T52/100)))</f>
        <v>64.361287292590163</v>
      </c>
      <c r="U22" s="4">
        <f>IF(AND(U50&gt;1,T50&gt;1),IF(AND(U50&gt;0,T50&gt;0),U27*(U51/100+1),0)+IF(U50&gt;0,T22*(1+U52/100),0)-T22*(1+'Adverse (r-g)'!U24/100),IF(U50=1,U27,T22*(1+U52/100)))</f>
        <v>65.111542956882644</v>
      </c>
      <c r="V22" s="4">
        <f>IF(AND(V50&gt;1,U50&gt;1),IF(AND(V50&gt;0,U50&gt;0),V27*(V51/100+1),0)+IF(V50&gt;0,U22*(1+V52/100),0)-U22*(1+'Adverse (r-g)'!V24/100),IF(V50=1,V27,U22*(1+V52/100)))</f>
        <v>65.78651330244459</v>
      </c>
      <c r="W22" s="4">
        <f>IF(AND(W50&gt;1,V50&gt;1),IF(AND(W50&gt;0,V50&gt;0),W27*(W51/100+1),0)+IF(W50&gt;0,V22*(1+W52/100),0)-V22*(1+'Adverse (r-g)'!W24/100),IF(W50=1,W27,V22*(1+W52/100)))</f>
        <v>66.408651753689881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8.228491</v>
      </c>
      <c r="D23" s="100">
        <f>100*(D22/C22-1)</f>
        <v>2.4607920000000005</v>
      </c>
      <c r="E23" s="100">
        <f t="shared" ref="E23:T23" si="0">100*(E22/D22-1)</f>
        <v>1.5868970000000093</v>
      </c>
      <c r="F23" s="100">
        <f t="shared" si="0"/>
        <v>2.3434570000000043</v>
      </c>
      <c r="G23" s="34">
        <f t="shared" si="0"/>
        <v>2.6849850000000064</v>
      </c>
      <c r="H23" s="34">
        <f t="shared" si="0"/>
        <v>1.8560361763048983</v>
      </c>
      <c r="I23" s="34">
        <f t="shared" si="0"/>
        <v>1.9263805590576721</v>
      </c>
      <c r="J23" s="34">
        <f t="shared" si="0"/>
        <v>2.0083915211622561</v>
      </c>
      <c r="K23" s="4">
        <f>100*(K22/J22-1)</f>
        <v>1.9481667470908626</v>
      </c>
      <c r="L23" s="4">
        <f>100*(L22/K22-1)</f>
        <v>1.9458413854953838</v>
      </c>
      <c r="M23" s="4">
        <f t="shared" si="0"/>
        <v>1.9235989418981969</v>
      </c>
      <c r="N23" s="4">
        <f t="shared" si="0"/>
        <v>1.7710120000000051</v>
      </c>
      <c r="O23" s="4">
        <f t="shared" si="0"/>
        <v>1.7812249999999974</v>
      </c>
      <c r="P23" s="4">
        <f t="shared" si="0"/>
        <v>1.6648189999999952</v>
      </c>
      <c r="Q23" s="4">
        <f t="shared" si="0"/>
        <v>1.5484129999999929</v>
      </c>
      <c r="R23" s="4">
        <f t="shared" si="0"/>
        <v>1.4320040000000089</v>
      </c>
      <c r="S23" s="4">
        <f t="shared" si="0"/>
        <v>1.3762339999999984</v>
      </c>
      <c r="T23" s="4">
        <f t="shared" si="0"/>
        <v>1.2763089999999977</v>
      </c>
      <c r="U23" s="4">
        <f t="shared" ref="U23" si="1">100*(U22/T22-1)</f>
        <v>1.1656939999999949</v>
      </c>
      <c r="V23" s="4">
        <f t="shared" ref="V23" si="2">100*(V22/U22-1)</f>
        <v>1.0366370000000069</v>
      </c>
      <c r="W23" s="4">
        <f t="shared" ref="W23" si="3">100*(W22/V22-1)</f>
        <v>0.945693000000003</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1.8063069999999999</v>
      </c>
      <c r="L24" s="4">
        <f>IF('Criteria results'!$F$5=4,'Input data'!L30-0.5,'Input data'!L30)</f>
        <v>1.8041770000000001</v>
      </c>
      <c r="M24" s="4">
        <f>IF('Criteria results'!$F$5=4,'Input data'!M30-0.5,'Input data'!M30)</f>
        <v>1.782165</v>
      </c>
      <c r="N24" s="4">
        <f>'Input data'!N30-0.5</f>
        <v>1.7710119999999998</v>
      </c>
      <c r="O24" s="4">
        <f>'Input data'!O30-0.5</f>
        <v>1.7812250000000001</v>
      </c>
      <c r="P24" s="4">
        <f>'Input data'!P30-0.5</f>
        <v>1.664819</v>
      </c>
      <c r="Q24" s="4">
        <f>'Input data'!Q30-0.5</f>
        <v>1.548413</v>
      </c>
      <c r="R24" s="4">
        <f>'Input data'!R30-0.5</f>
        <v>1.4320040000000001</v>
      </c>
      <c r="S24" s="4">
        <f>'Input data'!S30-0.5</f>
        <v>1.376234</v>
      </c>
      <c r="T24" s="4">
        <f>'Input data'!T30-0.5</f>
        <v>1.2763089999999999</v>
      </c>
      <c r="U24" s="4">
        <f>'Input data'!U30-0.5</f>
        <v>1.165694</v>
      </c>
      <c r="V24" s="4">
        <f>'Input data'!V30-0.5</f>
        <v>1.036637</v>
      </c>
      <c r="W24" s="4">
        <f>'Input data'!W30-0.5</f>
        <v>0.94569299999999989</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45.770859999999999</v>
      </c>
      <c r="D27" s="100">
        <f>+C27*(1+'Input data'!D33/100)</f>
        <v>46.850570786552801</v>
      </c>
      <c r="E27" s="100">
        <f>+D27*(1+'Input data'!E33/100)</f>
        <v>48.25044991246093</v>
      </c>
      <c r="F27" s="100">
        <f>+E27*(1+'Input data'!F33/100)</f>
        <v>49.629799034234424</v>
      </c>
      <c r="G27" s="34">
        <f>+F27*(1+'Input data'!G33/100)</f>
        <v>51.057412114605945</v>
      </c>
      <c r="H27" s="34">
        <f>+G27*(1+'Input data'!H33/100)</f>
        <v>52.328620670192919</v>
      </c>
      <c r="I27" s="34">
        <f>+H27*(1+'Input data'!I33/100)</f>
        <v>53.55798375831845</v>
      </c>
      <c r="J27" s="34">
        <f>+I27*(1+'Input data'!J33/100)</f>
        <v>54.784555312855517</v>
      </c>
      <c r="K27" s="4">
        <f>IF('Criteria results'!$F$5=4,J27*(1+'Input data'!K33/100-0.005),J27*(1+'Input data'!K33/100))</f>
        <v>55.774130926853843</v>
      </c>
      <c r="L27" s="4">
        <f>IF('Criteria results'!$F$5=4,K27*(1+'Input data'!L33/100-0.005),K27*(1+'Input data'!L33/100))</f>
        <v>56.780396084468649</v>
      </c>
      <c r="M27" s="4">
        <f>IF('Criteria results'!$F$5=4,L27*(1+'Input data'!M33/100-0.005),L27*(1+'Input data'!M33/100))</f>
        <v>57.792315862543468</v>
      </c>
      <c r="N27" s="4">
        <f>+M27*(1+'Input data'!N33/100-0.005)</f>
        <v>58.815822977777543</v>
      </c>
      <c r="O27" s="4">
        <f>+N27*(1+'Input data'!O33/100-0.005)</f>
        <v>59.863465120613476</v>
      </c>
      <c r="P27" s="4">
        <f>+O27*(1+'Input data'!P33/100-0.005)</f>
        <v>60.860083461999835</v>
      </c>
      <c r="Q27" s="4">
        <f>+P27*(1+'Input data'!Q33/100-0.005)</f>
        <v>61.802449514737134</v>
      </c>
      <c r="R27" s="4">
        <f>+Q27*(1+'Input data'!R33/100-0.005)</f>
        <v>62.687465535984138</v>
      </c>
      <c r="S27" s="4">
        <f>+R27*(1+'Input data'!S33/100-0.005)</f>
        <v>63.550191750428645</v>
      </c>
      <c r="T27" s="4">
        <f>+S27*(1+'Input data'!T33/100-0.005)</f>
        <v>64.361289838260461</v>
      </c>
      <c r="U27" s="4">
        <f>+T27*(1+'Input data'!U33/100-0.005)</f>
        <v>65.11154681945348</v>
      </c>
      <c r="V27" s="4">
        <f>+U27*(1+'Input data'!V33/100-0.005)</f>
        <v>65.78651394947893</v>
      </c>
      <c r="W27" s="4">
        <f>+V27*(1+'Input data'!W33/100-0.005)</f>
        <v>66.408655696168879</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2.8929541634131528</v>
      </c>
      <c r="D30" s="100">
        <f t="shared" si="4"/>
        <v>2.9953294830951993</v>
      </c>
      <c r="E30" s="100">
        <f t="shared" si="4"/>
        <v>1.5941603087904044</v>
      </c>
      <c r="F30" s="100">
        <f t="shared" si="4"/>
        <v>1.0852241631239989</v>
      </c>
      <c r="G30" s="34">
        <f t="shared" si="4"/>
        <v>0.89702026588716066</v>
      </c>
      <c r="H30" s="34">
        <f t="shared" si="4"/>
        <v>0.27314187743385787</v>
      </c>
      <c r="I30" s="34">
        <f t="shared" si="4"/>
        <v>-0.14121131568606282</v>
      </c>
      <c r="J30" s="34">
        <f t="shared" si="4"/>
        <v>-0.41629694212075297</v>
      </c>
      <c r="K30" s="34">
        <f t="shared" si="4"/>
        <v>-0.27753129474717975</v>
      </c>
      <c r="L30" s="34">
        <f t="shared" si="4"/>
        <v>-0.13876564737357322</v>
      </c>
      <c r="M30" s="34">
        <f t="shared" si="4"/>
        <v>0</v>
      </c>
      <c r="N30" s="34">
        <f t="shared" si="4"/>
        <v>2.9477942975475457E-6</v>
      </c>
      <c r="O30" s="34">
        <f t="shared" si="4"/>
        <v>2.9477942753430852E-6</v>
      </c>
      <c r="P30" s="34">
        <f t="shared" si="4"/>
        <v>2.9477942309341643E-6</v>
      </c>
      <c r="Q30" s="34">
        <f t="shared" si="4"/>
        <v>1.9630422176675211E-6</v>
      </c>
      <c r="R30" s="34">
        <f t="shared" si="4"/>
        <v>-1.9804862194661155E-6</v>
      </c>
      <c r="S30" s="34">
        <f t="shared" si="4"/>
        <v>-1.980486241670576E-6</v>
      </c>
      <c r="T30" s="34">
        <f t="shared" si="4"/>
        <v>-3.9552816688548376E-6</v>
      </c>
      <c r="U30" s="34">
        <f t="shared" si="4"/>
        <v>-5.9322363354930019E-6</v>
      </c>
      <c r="V30" s="34">
        <f t="shared" si="4"/>
        <v>-9.8353644117921135E-7</v>
      </c>
      <c r="W30" s="34">
        <f t="shared" si="4"/>
        <v>-5.9366944804573052E-6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11.125195175352598</v>
      </c>
      <c r="D33" s="2">
        <f t="shared" si="5"/>
        <v>9.1030095661206456</v>
      </c>
      <c r="E33" s="2">
        <f t="shared" si="5"/>
        <v>10.610319602348994</v>
      </c>
      <c r="F33" s="2">
        <f t="shared" si="5"/>
        <v>5.7258795976820487</v>
      </c>
      <c r="G33" s="1">
        <f t="shared" si="5"/>
        <v>5.7256835341713552</v>
      </c>
      <c r="H33" s="1">
        <f t="shared" si="5"/>
        <v>4.8198350958001734</v>
      </c>
      <c r="I33" s="1">
        <f t="shared" si="5"/>
        <v>4.8398373409270778</v>
      </c>
      <c r="J33" s="1">
        <f t="shared" si="5"/>
        <v>4.8717613331892728</v>
      </c>
      <c r="K33" s="1">
        <f t="shared" si="5"/>
        <v>4.757445842306196</v>
      </c>
      <c r="L33" s="1">
        <f t="shared" si="5"/>
        <v>4.7026573875698086</v>
      </c>
      <c r="M33" s="1">
        <f t="shared" si="5"/>
        <v>4.6274258813479019</v>
      </c>
      <c r="N33" s="1">
        <f t="shared" si="5"/>
        <v>4.4184819612441251</v>
      </c>
      <c r="O33" s="1">
        <f t="shared" si="5"/>
        <v>4.3766462375000037</v>
      </c>
      <c r="P33" s="1">
        <f t="shared" si="5"/>
        <v>4.2293140592750023</v>
      </c>
      <c r="Q33" s="1">
        <f t="shared" si="5"/>
        <v>4.0820459043499957</v>
      </c>
      <c r="R33" s="1">
        <f t="shared" si="5"/>
        <v>3.9348386987000161</v>
      </c>
      <c r="S33" s="1">
        <f t="shared" si="5"/>
        <v>3.8498141095999916</v>
      </c>
      <c r="T33" s="1">
        <f t="shared" si="5"/>
        <v>3.7195999546249858</v>
      </c>
      <c r="U33" s="1">
        <f t="shared" si="5"/>
        <v>3.5784958018999946</v>
      </c>
      <c r="V33" s="1">
        <f t="shared" si="5"/>
        <v>3.4185757172749964</v>
      </c>
      <c r="W33" s="1">
        <f t="shared" si="5"/>
        <v>3.2977276469000172</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1.7379089999999999</v>
      </c>
      <c r="D36" s="100">
        <f>'Input data'!D37</f>
        <v>1.6448419999999999</v>
      </c>
      <c r="E36" s="100">
        <f>'Input data'!E37</f>
        <v>1.8992169999999999</v>
      </c>
      <c r="F36" s="100">
        <f>'Input data'!F37</f>
        <v>2.1593610000000001</v>
      </c>
      <c r="G36" s="100">
        <f>'Input data'!G37</f>
        <v>2.1774469999999999</v>
      </c>
      <c r="H36" s="34">
        <f t="shared" ref="H36:W36" si="6">H93</f>
        <v>2.2733169841339604</v>
      </c>
      <c r="I36" s="34">
        <f t="shared" si="6"/>
        <v>2.3607475558071473</v>
      </c>
      <c r="J36" s="34">
        <f t="shared" si="6"/>
        <v>2.4431415909904963</v>
      </c>
      <c r="K36" s="34">
        <f>K93</f>
        <v>2.5683431156598728</v>
      </c>
      <c r="L36" s="34">
        <f t="shared" si="6"/>
        <v>2.6821432707944246</v>
      </c>
      <c r="M36" s="34">
        <f t="shared" si="6"/>
        <v>2.7953581564010777</v>
      </c>
      <c r="N36" s="34">
        <f t="shared" si="6"/>
        <v>2.9075318465575393</v>
      </c>
      <c r="O36" s="34">
        <f t="shared" si="6"/>
        <v>3.0194467852978204</v>
      </c>
      <c r="P36" s="34">
        <f t="shared" si="6"/>
        <v>3.1276115391617871</v>
      </c>
      <c r="Q36" s="34">
        <f t="shared" si="6"/>
        <v>3.2301321087266839</v>
      </c>
      <c r="R36" s="34">
        <f t="shared" si="6"/>
        <v>3.3276654500841225</v>
      </c>
      <c r="S36" s="34">
        <f t="shared" si="6"/>
        <v>3.419593332745289</v>
      </c>
      <c r="T36" s="34">
        <f t="shared" si="6"/>
        <v>3.5055819293111909</v>
      </c>
      <c r="U36" s="34">
        <f t="shared" si="6"/>
        <v>3.586261809353704</v>
      </c>
      <c r="V36" s="34">
        <f t="shared" si="6"/>
        <v>3.661855192697963</v>
      </c>
      <c r="W36" s="34">
        <f t="shared" si="6"/>
        <v>3.7318088734522408</v>
      </c>
    </row>
    <row r="37" spans="2:51" x14ac:dyDescent="0.2">
      <c r="B37" s="32" t="s">
        <v>94</v>
      </c>
      <c r="C37" s="1"/>
      <c r="D37" s="2">
        <f>'Input data'!D$39</f>
        <v>1.89</v>
      </c>
      <c r="E37" s="2">
        <f>'Input data'!E$39</f>
        <v>3.4</v>
      </c>
      <c r="F37" s="166">
        <f>'Input data'!F$39</f>
        <v>3.2130990000000001</v>
      </c>
      <c r="G37" s="166">
        <f>'Input data'!G$39</f>
        <v>3.2666849999999998</v>
      </c>
      <c r="H37" s="1">
        <f>$G$37+('Input data'!$C$52-$G$37)/($O$10-$G$10)*(H10-$G$10)</f>
        <v>3.3183456250000001</v>
      </c>
      <c r="I37" s="1">
        <f>$G$37+('Input data'!$C$52-$G$37)/($O$10-$G$10)*(I10-$G$10)</f>
        <v>3.3700062499999999</v>
      </c>
      <c r="J37" s="1">
        <f>$G$37+('Input data'!$C$52-$G$37)/($O$10-$G$10)*(J10-$G$10)</f>
        <v>3.4216668749999997</v>
      </c>
      <c r="K37" s="4">
        <f>IF('Criteria results'!$F$5=4,$G$37+('Input data'!$C$52-$G$37)/($O$10-$G$10)*(K10-$G$10)+0.5,$G$37+('Input data'!$C$52-$G$37)/($O$10-$G$10)*(K10-$G$10))</f>
        <v>3.9733274999999999</v>
      </c>
      <c r="L37" s="4">
        <f>IF('Criteria results'!$F$5=4,$G$37+('Input data'!$C$52-$G$37)/($O$10-$G$10)*(L10-$G$10)+0.5,$G$37+('Input data'!$C$52-$G$37)/($O$10-$G$10)*(L10-$G$10))</f>
        <v>4.0249881250000001</v>
      </c>
      <c r="M37" s="4">
        <f>IF('Criteria results'!$F$5=4,$G$37+('Input data'!$C$52-$G$37)/($O$10-$G$10)*(M10-$G$10)+0.5,$G$37+('Input data'!$C$52-$G$37)/($O$10-$G$10)*(M10-$G$10))</f>
        <v>4.0766487500000004</v>
      </c>
      <c r="N37" s="3">
        <f>IF('Criteria results'!$F$5=4,$G$37+('Input data'!$C$52-$G$37)/($O$10-$G$10)*(N10-$G$10)+0.5,$G$37+('Input data'!$C$52-$G$37)/($O$10-$G$10)*(N10-$G$10)+0.5)</f>
        <v>4.1283093749999997</v>
      </c>
      <c r="O37" s="3">
        <f>'Input data'!$C$52+0.5</f>
        <v>4.17997</v>
      </c>
      <c r="P37" s="3">
        <f>'Baseline NFPC'!P36+0.5</f>
        <v>4.1959714999999997</v>
      </c>
      <c r="Q37" s="3">
        <f>'Baseline NFPC'!Q36+0.5</f>
        <v>4.2119730000000004</v>
      </c>
      <c r="R37" s="3">
        <f>'Baseline NFPC'!R36+0.5</f>
        <v>4.2279745000000002</v>
      </c>
      <c r="S37" s="3">
        <f>'Baseline NFPC'!S36+0.5</f>
        <v>4.243976</v>
      </c>
      <c r="T37" s="3">
        <f>'Baseline NFPC'!T36+0.5</f>
        <v>4.2599774999999998</v>
      </c>
      <c r="U37" s="3">
        <f>'Baseline NFPC'!U36+0.5</f>
        <v>4.2759789999999995</v>
      </c>
      <c r="V37" s="3">
        <f>'Baseline NFPC'!V36+0.5</f>
        <v>4.2919805000000002</v>
      </c>
      <c r="W37" s="3">
        <f>'Baseline NFPC'!W36+0.5</f>
        <v>4.307982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0.35</v>
      </c>
      <c r="E38" s="2">
        <f>'Input data'!E$38</f>
        <v>3.43</v>
      </c>
      <c r="F38" s="166">
        <f>'Input data'!F$38</f>
        <v>3.5642079999999998</v>
      </c>
      <c r="G38" s="166">
        <f>'Input data'!G$38</f>
        <v>2.8163749999999999</v>
      </c>
      <c r="H38" s="1">
        <f>$G$38+('Input data'!$C$53-$G$38)/($O$10-$G$10)*(H10-$G$10)</f>
        <v>2.8050893749999997</v>
      </c>
      <c r="I38" s="1">
        <f>$G$38+('Input data'!$C$53-$G$38)/($O$10-$G$10)*(I10-$G$10)</f>
        <v>2.7938037499999999</v>
      </c>
      <c r="J38" s="1">
        <f>$G$38+('Input data'!$C$53-$G$38)/($O$10-$G$10)*(J10-$G$10)</f>
        <v>2.7825181250000002</v>
      </c>
      <c r="K38" s="4">
        <f>IF('Criteria results'!$F$5=4,$G$38+('Input data'!$C$53-$G$38)/($O$10-$G$10)*(K10-$G$10)+0.5,$G$38+('Input data'!$C$53-$G$38)/($O$10-$G$10)*(K10-$G$10))</f>
        <v>3.2712325</v>
      </c>
      <c r="L38" s="4">
        <f>IF('Criteria results'!$F$5=4,$G$38+('Input data'!$C$53-$G$38)/($O$10-$G$10)*(L10-$G$10)+0.5,$G$38+('Input data'!$C$53-$G$38)/($O$10-$G$10)*(L10-$G$10))</f>
        <v>3.2599468749999998</v>
      </c>
      <c r="M38" s="4">
        <f>IF('Criteria results'!$F$5=4,$G$38+('Input data'!$C$53-$G$38)/($O$10-$G$10)*(M10-$G$10)+0.5,$G$38+('Input data'!$C$53-$G$38)/($O$10-$G$10)*(M10-$G$10))</f>
        <v>3.2486612500000001</v>
      </c>
      <c r="N38" s="3">
        <f>IF('Criteria results'!$F$5=4,$G$38+('Input data'!$C$53-$G$38)/($O$10-$G$10)*(N10-$G$10)+0.5,$G$38+('Input data'!$C$53-$G$38)/($O$10-$G$10)*(N10-$G$10)+0.5)</f>
        <v>3.2373756250000003</v>
      </c>
      <c r="O38" s="3">
        <f>'Input data'!$C$53+0.5</f>
        <v>3.2260900000000001</v>
      </c>
      <c r="P38" s="3">
        <f>'Baseline NFPC'!P37+0.5</f>
        <v>3.1897855000000002</v>
      </c>
      <c r="Q38" s="3">
        <f>'Baseline NFPC'!Q37+0.5</f>
        <v>3.1534810000000002</v>
      </c>
      <c r="R38" s="3">
        <f>'Baseline NFPC'!R37+0.5</f>
        <v>3.1171765000000002</v>
      </c>
      <c r="S38" s="3">
        <f>'Baseline NFPC'!S37+0.5</f>
        <v>3.0808720000000003</v>
      </c>
      <c r="T38" s="3">
        <f>'Baseline NFPC'!T37+0.5</f>
        <v>3.0445675000000003</v>
      </c>
      <c r="U38" s="3">
        <f>'Baseline NFPC'!U37+0.5</f>
        <v>3.0082629999999999</v>
      </c>
      <c r="V38" s="3">
        <f>'Baseline NFPC'!V37+0.5</f>
        <v>2.9719584999999999</v>
      </c>
      <c r="W38" s="3">
        <f>'Baseline NFPC'!W37+0.5</f>
        <v>2.935654</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8.9708819999999995E-2</v>
      </c>
      <c r="D39" s="34">
        <f>'Baseline NFPC'!D38</f>
        <v>3.952174E-2</v>
      </c>
      <c r="E39" s="34">
        <f>'Baseline NFPC'!E38</f>
        <v>3.0137259999999999E-2</v>
      </c>
      <c r="F39" s="34">
        <f>'Baseline NFPC'!F38</f>
        <v>5.50765E-2</v>
      </c>
      <c r="G39" s="34">
        <f>'Baseline NFPC'!G38</f>
        <v>5.5870452222222221E-2</v>
      </c>
      <c r="H39" s="34">
        <f>'Baseline NFPC'!H38</f>
        <v>5.6664404444444441E-2</v>
      </c>
      <c r="I39" s="34">
        <f>'Baseline NFPC'!I38</f>
        <v>5.7458356666666668E-2</v>
      </c>
      <c r="J39" s="34">
        <f>'Baseline NFPC'!J38</f>
        <v>5.8252308888888889E-2</v>
      </c>
      <c r="K39" s="34">
        <f>'Baseline NFPC'!K38</f>
        <v>5.9046261111111109E-2</v>
      </c>
      <c r="L39" s="34">
        <f>'Baseline NFPC'!L38</f>
        <v>5.9840213333333329E-2</v>
      </c>
      <c r="M39" s="34">
        <f>'Baseline NFPC'!M38</f>
        <v>6.063416555555555E-2</v>
      </c>
      <c r="N39" s="34">
        <f>'Baseline NFPC'!N38</f>
        <v>6.1428117777777777E-2</v>
      </c>
      <c r="O39" s="34">
        <f>'Baseline NFPC'!O38</f>
        <v>6.2222069999999997E-2</v>
      </c>
      <c r="P39" s="34">
        <f>'Baseline NFPC'!P38</f>
        <v>6.2222069999999997E-2</v>
      </c>
      <c r="Q39" s="34">
        <f>'Baseline NFPC'!Q38</f>
        <v>6.2222069999999997E-2</v>
      </c>
      <c r="R39" s="34">
        <f>'Baseline NFPC'!R38</f>
        <v>6.2222069999999997E-2</v>
      </c>
      <c r="S39" s="34">
        <f>'Baseline NFPC'!S38</f>
        <v>6.2222069999999997E-2</v>
      </c>
      <c r="T39" s="34">
        <f>'Baseline NFPC'!T38</f>
        <v>6.2222069999999997E-2</v>
      </c>
      <c r="U39" s="34">
        <f>'Baseline NFPC'!U38</f>
        <v>6.2222069999999997E-2</v>
      </c>
      <c r="V39" s="34">
        <f>'Baseline NFPC'!V38</f>
        <v>6.2222069999999997E-2</v>
      </c>
      <c r="W39" s="34">
        <f>'Baseline NFPC'!W38</f>
        <v>6.2222069999999997E-2</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2.6764709999999998</v>
      </c>
      <c r="D42" s="2">
        <f>'Input data'!D42</f>
        <v>6.4826920000000001</v>
      </c>
      <c r="E42" s="2">
        <f>'Input data'!E42</f>
        <v>8.8824670000000001</v>
      </c>
      <c r="F42" s="2">
        <f>'Input data'!F42</f>
        <v>3.3049719999999998</v>
      </c>
      <c r="G42" s="2">
        <f>'Input data'!G42</f>
        <v>2.9611909999999999</v>
      </c>
      <c r="H42" s="1">
        <f>'Baseline NFPC'!H41</f>
        <v>2.9097921250000001</v>
      </c>
      <c r="I42" s="1">
        <f>'Baseline NFPC'!I41</f>
        <v>2.8583932499999998</v>
      </c>
      <c r="J42" s="1">
        <f>'Baseline NFPC'!J41</f>
        <v>2.8069943749999999</v>
      </c>
      <c r="K42" s="1">
        <f>'Baseline NFPC'!K41</f>
        <v>2.7555955000000001</v>
      </c>
      <c r="L42" s="1">
        <f>'Baseline NFPC'!L41</f>
        <v>2.7041966249999998</v>
      </c>
      <c r="M42" s="1">
        <f>'Baseline NFPC'!M41</f>
        <v>2.65279775</v>
      </c>
      <c r="N42" s="1">
        <f>'Baseline NFPC'!N41</f>
        <v>2.6013988749999997</v>
      </c>
      <c r="O42" s="252">
        <f>'Baseline NFPC'!O41</f>
        <v>2.5499999999999998</v>
      </c>
      <c r="P42" s="1">
        <f>'Baseline NFPC'!P41</f>
        <v>2.5225</v>
      </c>
      <c r="Q42" s="1">
        <f>'Baseline NFPC'!Q41</f>
        <v>2.4949999999999997</v>
      </c>
      <c r="R42" s="1">
        <f>'Baseline NFPC'!R41</f>
        <v>2.4674999999999998</v>
      </c>
      <c r="S42" s="1">
        <f>'Baseline NFPC'!S41</f>
        <v>2.44</v>
      </c>
      <c r="T42" s="1">
        <f>'Baseline NFPC'!T41</f>
        <v>2.4124999999999996</v>
      </c>
      <c r="U42" s="1">
        <f>'Baseline NFPC'!U41</f>
        <v>2.3849999999999998</v>
      </c>
      <c r="V42" s="1">
        <f>'Baseline NFPC'!V41</f>
        <v>2.3574999999999999</v>
      </c>
      <c r="W42" s="1">
        <f>'Baseline NFPC'!W41</f>
        <v>2.33</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0.99995230000000002</v>
      </c>
      <c r="D43" s="1">
        <f>'Baseline NFPC'!D42</f>
        <v>1</v>
      </c>
      <c r="E43" s="1">
        <f>'Baseline NFPC'!E42</f>
        <v>1</v>
      </c>
      <c r="F43" s="1">
        <f>'Baseline NFPC'!F42</f>
        <v>0.99999990000000005</v>
      </c>
      <c r="G43" s="1">
        <f>'Baseline NFPC'!G42</f>
        <v>1</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0.46800000000000003</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0.59801351059144037</v>
      </c>
      <c r="I51" s="34">
        <f t="shared" si="7"/>
        <v>0.18209458495590525</v>
      </c>
      <c r="J51" s="34">
        <f t="shared" si="7"/>
        <v>-9.4140877124041872E-2</v>
      </c>
      <c r="K51" s="34">
        <f t="shared" si="7"/>
        <v>-0.27753129474716864</v>
      </c>
      <c r="L51" s="34">
        <f t="shared" si="7"/>
        <v>-0.13876564737358432</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2.4607920000000001</v>
      </c>
      <c r="E52" s="34">
        <f>'Input data'!E30-$C$47*((E12-D12)-('Input data'!E13-'Input data'!D13))</f>
        <v>1.586897</v>
      </c>
      <c r="F52" s="34">
        <f>'Input data'!F30-$C$47*((F12-E12)-('Input data'!F13-'Input data'!E13))</f>
        <v>2.3434569999999999</v>
      </c>
      <c r="G52" s="34">
        <f>'Input data'!G30-$C$47*((G12-F12))</f>
        <v>2.6849849999999997</v>
      </c>
      <c r="H52" s="34">
        <f>'Input data'!H30-$C$47*((H12-G12))</f>
        <v>1.747576</v>
      </c>
      <c r="I52" s="34">
        <f>'Input data'!I30-$C$47*((I12-H12))</f>
        <v>1.4682519999999999</v>
      </c>
      <c r="J52" s="34">
        <f>'Input data'!J30-$C$47*((J12-I12))</f>
        <v>1.683325</v>
      </c>
      <c r="K52" s="4">
        <f>'Adverse (r-g)'!K24-$C$47*(K12-J12)</f>
        <v>1.8063069999999999</v>
      </c>
      <c r="L52" s="4">
        <f>'Adverse (r-g)'!L24-$C$47*(L12-K12)</f>
        <v>1.8041770000000001</v>
      </c>
      <c r="M52" s="4">
        <f>'Adverse (r-g)'!M24-$C$47*(M12-L12)</f>
        <v>1.782165</v>
      </c>
      <c r="N52" s="4">
        <f>'Adverse (r-g)'!N24-$C$47*((N12-M12))</f>
        <v>1.7710119999999998</v>
      </c>
      <c r="O52" s="4">
        <f>'Adverse (r-g)'!O24-$C$47*((O12-N12))</f>
        <v>1.7812250000000001</v>
      </c>
      <c r="P52" s="4">
        <f>'Adverse (r-g)'!P24-$C$47*((P12-O12))</f>
        <v>1.664819</v>
      </c>
      <c r="Q52" s="4">
        <f>'Adverse (r-g)'!Q24-$C$47*((Q12-P12))</f>
        <v>1.548413</v>
      </c>
      <c r="R52" s="4">
        <f>'Adverse (r-g)'!R24-$C$47*((R12-Q12))</f>
        <v>1.4320040000000001</v>
      </c>
      <c r="S52" s="4">
        <f>'Adverse (r-g)'!S24-$C$47*((S12-R12))</f>
        <v>1.376234</v>
      </c>
      <c r="T52" s="4">
        <f>'Adverse (r-g)'!T24-$C$47*((T12-S12))</f>
        <v>1.2763089999999999</v>
      </c>
      <c r="U52" s="4">
        <f>'Adverse (r-g)'!U24-$C$47*((U12-T12))</f>
        <v>1.165694</v>
      </c>
      <c r="V52" s="4">
        <f>'Adverse (r-g)'!V24-$C$47*((V12-U12))</f>
        <v>1.036637</v>
      </c>
      <c r="W52" s="4">
        <f>'Adverse (r-g)'!W24-$C$47*((W12-V12))</f>
        <v>0.94569299999999989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74.367679999999993</v>
      </c>
      <c r="D57" s="45">
        <f>+C57+D58</f>
        <v>72.475954801911442</v>
      </c>
      <c r="E57" s="45">
        <f>+D57+E58</f>
        <v>69.219569977397526</v>
      </c>
      <c r="F57" s="45">
        <f t="shared" ref="F57:T57" si="8">+E57+F58</f>
        <v>68.073476569055487</v>
      </c>
      <c r="G57" s="45">
        <f t="shared" si="8"/>
        <v>66.450398022510456</v>
      </c>
      <c r="H57" s="45">
        <f t="shared" si="8"/>
        <v>65.072880781600858</v>
      </c>
      <c r="I57" s="45">
        <f t="shared" si="8"/>
        <v>63.524900171385966</v>
      </c>
      <c r="J57" s="45">
        <f t="shared" si="8"/>
        <v>61.733292809090855</v>
      </c>
      <c r="K57" s="45">
        <f t="shared" si="8"/>
        <v>60.227522360913483</v>
      </c>
      <c r="L57" s="45">
        <f t="shared" si="8"/>
        <v>58.948635780994373</v>
      </c>
      <c r="M57" s="45">
        <f t="shared" si="8"/>
        <v>57.891444388016289</v>
      </c>
      <c r="N57" s="45">
        <f t="shared" si="8"/>
        <v>57.174000768911377</v>
      </c>
      <c r="O57" s="46">
        <f t="shared" si="8"/>
        <v>56.741169078184825</v>
      </c>
      <c r="P57" s="46">
        <f t="shared" si="8"/>
        <v>56.582954465220688</v>
      </c>
      <c r="Q57" s="46">
        <f t="shared" si="8"/>
        <v>56.741303541090041</v>
      </c>
      <c r="R57" s="46">
        <f t="shared" si="8"/>
        <v>57.18528475887409</v>
      </c>
      <c r="S57" s="46">
        <f t="shared" si="8"/>
        <v>57.855350821595756</v>
      </c>
      <c r="T57" s="46">
        <f t="shared" si="8"/>
        <v>58.821502666822468</v>
      </c>
      <c r="U57" s="46">
        <f t="shared" ref="U57" si="9">+T57+U58</f>
        <v>60.114198604376263</v>
      </c>
      <c r="V57" s="46">
        <f t="shared" ref="V57" si="10">+U57+V58</f>
        <v>61.685645720826351</v>
      </c>
      <c r="W57" s="46">
        <f t="shared" ref="W57" si="11">+V57+W58</f>
        <v>63.516114018937003</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-1.8917251980885543</v>
      </c>
      <c r="E58" s="47">
        <f>-E59+E67+E72</f>
        <v>-3.2563848245139155</v>
      </c>
      <c r="F58" s="47">
        <f t="shared" ref="F58:T58" si="12">-F59+F67+F72</f>
        <v>-1.1460934083420342</v>
      </c>
      <c r="G58" s="47">
        <f t="shared" si="12"/>
        <v>-1.6230785465450368</v>
      </c>
      <c r="H58" s="47">
        <f t="shared" si="12"/>
        <v>-1.3775172409095964</v>
      </c>
      <c r="I58" s="47">
        <f t="shared" si="12"/>
        <v>-1.5479806102148927</v>
      </c>
      <c r="J58" s="47">
        <f t="shared" si="12"/>
        <v>-1.7916073622951096</v>
      </c>
      <c r="K58" s="47">
        <f t="shared" si="12"/>
        <v>-1.5057704481773713</v>
      </c>
      <c r="L58" s="47">
        <f t="shared" si="12"/>
        <v>-1.2788865799191116</v>
      </c>
      <c r="M58" s="47">
        <f t="shared" si="12"/>
        <v>-1.0571913929780852</v>
      </c>
      <c r="N58" s="47">
        <f t="shared" si="12"/>
        <v>-0.71744361910490917</v>
      </c>
      <c r="O58" s="47">
        <f t="shared" si="12"/>
        <v>-0.43283169072655037</v>
      </c>
      <c r="P58" s="47">
        <f t="shared" si="12"/>
        <v>-0.15821461296413486</v>
      </c>
      <c r="Q58" s="47">
        <f t="shared" si="12"/>
        <v>0.15834907586935487</v>
      </c>
      <c r="R58" s="47">
        <f t="shared" si="12"/>
        <v>0.44398121778405064</v>
      </c>
      <c r="S58" s="47">
        <f t="shared" si="12"/>
        <v>0.67006606272166302</v>
      </c>
      <c r="T58" s="47">
        <f t="shared" si="12"/>
        <v>0.96615184522671438</v>
      </c>
      <c r="U58" s="47">
        <f t="shared" ref="U58:W58" si="13">-U59+U67+U72</f>
        <v>1.2926959375537961</v>
      </c>
      <c r="V58" s="47">
        <f t="shared" si="13"/>
        <v>1.5714471164500847</v>
      </c>
      <c r="W58" s="47">
        <f t="shared" si="13"/>
        <v>1.8304682981106528</v>
      </c>
    </row>
    <row r="59" spans="2:48" outlineLevel="1" x14ac:dyDescent="0.2">
      <c r="B59" s="84" t="s">
        <v>106</v>
      </c>
      <c r="C59" s="48"/>
      <c r="D59" s="48">
        <f>D60+D61-D62-D63-D64-D65-D66</f>
        <v>-1.8615918019114464</v>
      </c>
      <c r="E59" s="48">
        <f t="shared" ref="E59:T59" si="14">E60+E61-E62-E63-E64-E65-E66</f>
        <v>-1.2147641754860907</v>
      </c>
      <c r="F59" s="48">
        <f t="shared" si="14"/>
        <v>-1.3889442916579684</v>
      </c>
      <c r="G59" s="48">
        <f t="shared" si="14"/>
        <v>-0.86152171556480883</v>
      </c>
      <c r="H59" s="48">
        <f t="shared" si="14"/>
        <v>-0.23684460136095453</v>
      </c>
      <c r="I59" s="48">
        <f t="shared" si="14"/>
        <v>9.2381042589225748E-3</v>
      </c>
      <c r="J59" s="48">
        <f t="shared" si="14"/>
        <v>0.32049803108748764</v>
      </c>
      <c r="K59" s="48">
        <f t="shared" si="14"/>
        <v>0.2157378540583168</v>
      </c>
      <c r="L59" s="48">
        <f t="shared" si="14"/>
        <v>0.11663757702916766</v>
      </c>
      <c r="M59" s="48">
        <f t="shared" si="14"/>
        <v>2.4977399999998151E-2</v>
      </c>
      <c r="N59" s="48">
        <f t="shared" si="14"/>
        <v>-0.12025372043226923</v>
      </c>
      <c r="O59" s="48">
        <f t="shared" si="14"/>
        <v>-0.31059632043227936</v>
      </c>
      <c r="P59" s="48">
        <f t="shared" si="14"/>
        <v>-0.44153882043230341</v>
      </c>
      <c r="Q59" s="48">
        <f t="shared" si="14"/>
        <v>-0.62148178129624121</v>
      </c>
      <c r="R59" s="48">
        <f t="shared" si="14"/>
        <v>-0.77545622686755145</v>
      </c>
      <c r="S59" s="48">
        <f t="shared" si="14"/>
        <v>-0.90696872686756125</v>
      </c>
      <c r="T59" s="48">
        <f t="shared" si="14"/>
        <v>-1.0855322510718226</v>
      </c>
      <c r="U59" s="48">
        <f t="shared" ref="U59:W59" si="15">U60+U61-U62-U63-U64-U65-U66</f>
        <v>-1.2882856762866057</v>
      </c>
      <c r="V59" s="48">
        <f t="shared" si="15"/>
        <v>-1.430035860295054</v>
      </c>
      <c r="W59" s="48">
        <f t="shared" si="15"/>
        <v>-1.5712507783730181</v>
      </c>
    </row>
    <row r="60" spans="2:48" outlineLevel="1" x14ac:dyDescent="0.2">
      <c r="B60" s="79" t="s">
        <v>107</v>
      </c>
      <c r="C60" s="1"/>
      <c r="D60" s="1">
        <f>D12</f>
        <v>-3.2634059999999998</v>
      </c>
      <c r="E60" s="1">
        <f>E12</f>
        <v>-1.555059</v>
      </c>
      <c r="F60" s="1">
        <f>F12</f>
        <v>-1.244675</v>
      </c>
      <c r="G60" s="1">
        <f t="shared" ref="G60:W60" si="16">IF(G12="",F60,G12)</f>
        <v>-0.80467500000000003</v>
      </c>
      <c r="H60" s="1">
        <f t="shared" si="16"/>
        <v>-0.36467500000000003</v>
      </c>
      <c r="I60" s="1">
        <f t="shared" si="16"/>
        <v>7.5324999999999975E-2</v>
      </c>
      <c r="J60" s="1">
        <f t="shared" si="16"/>
        <v>0.51532500000000003</v>
      </c>
      <c r="K60" s="1">
        <f t="shared" si="16"/>
        <v>0.51532500000000003</v>
      </c>
      <c r="L60" s="1">
        <f t="shared" si="16"/>
        <v>0.51532500000000003</v>
      </c>
      <c r="M60" s="1">
        <f t="shared" si="16"/>
        <v>0.51532500000000003</v>
      </c>
      <c r="N60" s="1">
        <f t="shared" si="16"/>
        <v>0.51532500000000003</v>
      </c>
      <c r="O60" s="1">
        <f t="shared" si="16"/>
        <v>0.51532500000000003</v>
      </c>
      <c r="P60" s="1">
        <f t="shared" si="16"/>
        <v>0.51532500000000003</v>
      </c>
      <c r="Q60" s="1">
        <f t="shared" si="16"/>
        <v>0.51532500000000003</v>
      </c>
      <c r="R60" s="1">
        <f t="shared" si="16"/>
        <v>0.51532500000000003</v>
      </c>
      <c r="S60" s="1">
        <f t="shared" si="16"/>
        <v>0.51532500000000003</v>
      </c>
      <c r="T60" s="1">
        <f t="shared" si="16"/>
        <v>0.51532500000000003</v>
      </c>
      <c r="U60" s="1">
        <f t="shared" si="16"/>
        <v>0.51532500000000003</v>
      </c>
      <c r="V60" s="1">
        <f t="shared" si="16"/>
        <v>0.51532500000000003</v>
      </c>
      <c r="W60" s="1">
        <f t="shared" si="16"/>
        <v>0.51532500000000003</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-1.4018141980885535</v>
      </c>
      <c r="E62" s="1">
        <f t="shared" si="17"/>
        <v>-0.74606702451390927</v>
      </c>
      <c r="F62" s="1">
        <f t="shared" si="17"/>
        <v>-0.50788490834203148</v>
      </c>
      <c r="G62" s="1">
        <f t="shared" si="17"/>
        <v>-0.41980548443519122</v>
      </c>
      <c r="H62" s="1">
        <f t="shared" si="17"/>
        <v>-0.12783039863904549</v>
      </c>
      <c r="I62" s="1">
        <f t="shared" si="17"/>
        <v>6.6086895741077401E-2</v>
      </c>
      <c r="J62" s="1">
        <f t="shared" si="17"/>
        <v>0.19482696891251239</v>
      </c>
      <c r="K62" s="1">
        <f t="shared" si="17"/>
        <v>0.12988464594168012</v>
      </c>
      <c r="L62" s="1">
        <f t="shared" si="17"/>
        <v>6.4942322970832272E-2</v>
      </c>
      <c r="M62" s="1">
        <f t="shared" si="17"/>
        <v>0</v>
      </c>
      <c r="N62" s="1">
        <f t="shared" si="17"/>
        <v>-1.3795677312522515E-6</v>
      </c>
      <c r="O62" s="1">
        <f t="shared" si="17"/>
        <v>-1.379567720860564E-6</v>
      </c>
      <c r="P62" s="1">
        <f t="shared" si="17"/>
        <v>-1.3795677000771889E-6</v>
      </c>
      <c r="Q62" s="1">
        <f t="shared" si="17"/>
        <v>-9.1870375786839995E-7</v>
      </c>
      <c r="R62" s="1">
        <f t="shared" si="17"/>
        <v>9.2686755071014215E-7</v>
      </c>
      <c r="S62" s="1">
        <f t="shared" si="17"/>
        <v>9.2686756110182959E-7</v>
      </c>
      <c r="T62" s="1">
        <f t="shared" si="17"/>
        <v>1.8510718210240641E-6</v>
      </c>
      <c r="U62" s="1">
        <f t="shared" si="17"/>
        <v>2.7762866050107251E-6</v>
      </c>
      <c r="V62" s="1">
        <f t="shared" si="17"/>
        <v>4.6029505447187095E-7</v>
      </c>
      <c r="W62" s="1">
        <f t="shared" si="17"/>
        <v>2.7783730168540192E-6</v>
      </c>
    </row>
    <row r="63" spans="2:48" outlineLevel="1" x14ac:dyDescent="0.2">
      <c r="B63" s="79" t="s">
        <v>110</v>
      </c>
      <c r="C63" s="1"/>
      <c r="D63" s="1">
        <f t="shared" ref="D63:W63" si="18">-D13</f>
        <v>0</v>
      </c>
      <c r="E63" s="1">
        <f t="shared" si="18"/>
        <v>0.40577220000000003</v>
      </c>
      <c r="F63" s="1">
        <f t="shared" si="18"/>
        <v>0.65215420000000002</v>
      </c>
      <c r="G63" s="1">
        <f t="shared" si="18"/>
        <v>0.47665220000000003</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0.1706200000000031</v>
      </c>
      <c r="L64" s="1">
        <f>IF(L$56&lt;=$C$6,0,HLOOKUP(L$56,'Input data'!$C$9:$BB$26,12,FALSE)-HLOOKUP($C$6,'Input data'!$C$9:$BB$26,12,FALSE))</f>
        <v>0.33558000000000021</v>
      </c>
      <c r="M64" s="1">
        <f>IF(M$56&lt;=$C$6,0,HLOOKUP(M$56,'Input data'!$C$9:$BB$26,12,FALSE)-HLOOKUP($C$6,'Input data'!$C$9:$BB$26,12,FALSE))</f>
        <v>0.49310000000000187</v>
      </c>
      <c r="N64" s="1">
        <f>IF(N$56&lt;=$C$6,0,HLOOKUP(N$56,'Input data'!$C$9:$BB$26,12,FALSE)-HLOOKUP($C$6,'Input data'!$C$9:$BB$26,12,FALSE))</f>
        <v>0.63925000000000054</v>
      </c>
      <c r="O64" s="1">
        <f>IF(O$56&lt;=$C$6,0,HLOOKUP(O$56,'Input data'!$C$9:$BB$26,12,FALSE)-HLOOKUP($C$6,'Input data'!$C$9:$BB$26,12,FALSE))</f>
        <v>0.8305100000000003</v>
      </c>
      <c r="P64" s="1">
        <f>IF(P$56&lt;=$C$6,0,HLOOKUP(P$56,'Input data'!$C$9:$BB$26,12,FALSE)-HLOOKUP($C$6,'Input data'!$C$9:$BB$26,12,FALSE))</f>
        <v>0.9623700000000035</v>
      </c>
      <c r="Q64" s="1">
        <f>IF(Q$56&lt;=$C$6,0,HLOOKUP(Q$56,'Input data'!$C$9:$BB$26,12,FALSE)-HLOOKUP($C$6,'Input data'!$C$9:$BB$26,12,FALSE))</f>
        <v>1.1432299999999991</v>
      </c>
      <c r="R64" s="1">
        <f>IF(R$56&lt;=$C$6,0,HLOOKUP(R$56,'Input data'!$C$9:$BB$26,12,FALSE)-HLOOKUP($C$6,'Input data'!$C$9:$BB$26,12,FALSE))</f>
        <v>1.2981200000000008</v>
      </c>
      <c r="S64" s="1">
        <f>IF(S$56&lt;=$C$6,0,HLOOKUP(S$56,'Input data'!$C$9:$BB$26,12,FALSE)-HLOOKUP($C$6,'Input data'!$C$9:$BB$26,12,FALSE))</f>
        <v>1.4305500000000002</v>
      </c>
      <c r="T64" s="1">
        <f>IF(T$56&lt;=$C$6,0,HLOOKUP(T$56,'Input data'!$C$9:$BB$26,12,FALSE)-HLOOKUP($C$6,'Input data'!$C$9:$BB$26,12,FALSE))</f>
        <v>1.6100300000000018</v>
      </c>
      <c r="U64" s="1">
        <f>IF(U$56&lt;=$C$6,0,HLOOKUP(U$56,'Input data'!$C$9:$BB$26,12,FALSE)-HLOOKUP($C$6,'Input data'!$C$9:$BB$26,12,FALSE))</f>
        <v>1.8137000000000008</v>
      </c>
      <c r="V64" s="1">
        <f>IF(V$56&lt;=$C$6,0,HLOOKUP(V$56,'Input data'!$C$9:$BB$26,12,FALSE)-HLOOKUP($C$6,'Input data'!$C$9:$BB$26,12,FALSE))</f>
        <v>1.9563699999999997</v>
      </c>
      <c r="W64" s="1">
        <f>IF(W$56&lt;=$C$6,0,HLOOKUP(W$56,'Input data'!$C$9:$BB$26,12,FALSE)-HLOOKUP($C$6,'Input data'!$C$9:$BB$26,12,FALSE))</f>
        <v>2.0985000000000014</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-9.1750000000001553E-4</v>
      </c>
      <c r="L65" s="1">
        <f>IF(L$56&lt;=$C$6,0,-HLOOKUP(L$56,'Input data'!$C$9:$BB$26,18,FALSE)+HLOOKUP($C$6,'Input data'!$C$9:$BB$26,18,FALSE))</f>
        <v>-1.8349000000000837E-3</v>
      </c>
      <c r="M65" s="1">
        <f>IF(M$56&lt;=$C$6,0,-HLOOKUP(M$56,'Input data'!$C$9:$BB$26,18,FALSE)+HLOOKUP($C$6,'Input data'!$C$9:$BB$26,18,FALSE))</f>
        <v>-2.7523999999999882E-3</v>
      </c>
      <c r="N65" s="1">
        <f>IF(N$56&lt;=$C$6,0,-HLOOKUP(N$56,'Input data'!$C$9:$BB$26,18,FALSE)+HLOOKUP($C$6,'Input data'!$C$9:$BB$26,18,FALSE))</f>
        <v>-3.6699000000000037E-3</v>
      </c>
      <c r="O65" s="1">
        <f>IF(O$56&lt;=$C$6,0,-HLOOKUP(O$56,'Input data'!$C$9:$BB$26,18,FALSE)+HLOOKUP($C$6,'Input data'!$C$9:$BB$26,18,FALSE))</f>
        <v>-4.5873000000000719E-3</v>
      </c>
      <c r="P65" s="1">
        <f>IF(P$56&lt;=$C$6,0,-HLOOKUP(P$56,'Input data'!$C$9:$BB$26,18,FALSE)+HLOOKUP($C$6,'Input data'!$C$9:$BB$26,18,FALSE))</f>
        <v>-5.5047999999999764E-3</v>
      </c>
      <c r="Q65" s="1">
        <f>IF(Q$56&lt;=$C$6,0,-HLOOKUP(Q$56,'Input data'!$C$9:$BB$26,18,FALSE)+HLOOKUP($C$6,'Input data'!$C$9:$BB$26,18,FALSE))</f>
        <v>-6.4222999999999919E-3</v>
      </c>
      <c r="R65" s="1">
        <f>IF(R$56&lt;=$C$6,0,-HLOOKUP(R$56,'Input data'!$C$9:$BB$26,18,FALSE)+HLOOKUP($C$6,'Input data'!$C$9:$BB$26,18,FALSE))</f>
        <v>-7.3397000000000601E-3</v>
      </c>
      <c r="S65" s="1">
        <f>IF(S$56&lt;=$C$6,0,-HLOOKUP(S$56,'Input data'!$C$9:$BB$26,18,FALSE)+HLOOKUP($C$6,'Input data'!$C$9:$BB$26,18,FALSE))</f>
        <v>-8.2572000000000756E-3</v>
      </c>
      <c r="T65" s="1">
        <f>IF(T$56&lt;=$C$6,0,-HLOOKUP(T$56,'Input data'!$C$9:$BB$26,18,FALSE)+HLOOKUP($C$6,'Input data'!$C$9:$BB$26,18,FALSE))</f>
        <v>-9.1746000000000327E-3</v>
      </c>
      <c r="U65" s="1">
        <f>IF(U$56&lt;=$C$6,0,-HLOOKUP(U$56,'Input data'!$C$9:$BB$26,18,FALSE)+HLOOKUP($C$6,'Input data'!$C$9:$BB$26,18,FALSE))</f>
        <v>-1.0092100000000048E-2</v>
      </c>
      <c r="V65" s="1">
        <f>IF(V$56&lt;=$C$6,0,-HLOOKUP(V$56,'Input data'!$C$9:$BB$26,18,FALSE)+HLOOKUP($C$6,'Input data'!$C$9:$BB$26,18,FALSE))</f>
        <v>-1.1009600000000064E-2</v>
      </c>
      <c r="W65" s="1">
        <f>IF(W$56&lt;=$C$6,0,-HLOOKUP(W$56,'Input data'!$C$9:$BB$26,18,FALSE)+HLOOKUP($C$6,'Input data'!$C$9:$BB$26,18,FALSE))</f>
        <v>-1.1927000000000021E-2</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-5.0836960000000007</v>
      </c>
      <c r="E67" s="48">
        <f>SUM(E68:E71)</f>
        <v>-5.7078360000000066</v>
      </c>
      <c r="F67" s="48">
        <f t="shared" si="19"/>
        <v>-2.3350280000000025</v>
      </c>
      <c r="G67" s="48">
        <f t="shared" si="19"/>
        <v>-2.2845987621098458</v>
      </c>
      <c r="H67" s="48">
        <f t="shared" si="19"/>
        <v>-1.6143618422705508</v>
      </c>
      <c r="I67" s="48">
        <f t="shared" si="19"/>
        <v>-1.5387425059559701</v>
      </c>
      <c r="J67" s="48">
        <f t="shared" si="19"/>
        <v>-1.471109331207622</v>
      </c>
      <c r="K67" s="48">
        <f t="shared" si="19"/>
        <v>-1.2900325941190545</v>
      </c>
      <c r="L67" s="48">
        <f t="shared" si="19"/>
        <v>-1.1622490028899439</v>
      </c>
      <c r="M67" s="48">
        <f t="shared" si="19"/>
        <v>-1.0322139929780871</v>
      </c>
      <c r="N67" s="48">
        <f t="shared" si="19"/>
        <v>-0.8376973395371784</v>
      </c>
      <c r="O67" s="48">
        <f t="shared" si="19"/>
        <v>-0.74342801115882973</v>
      </c>
      <c r="P67" s="48">
        <f t="shared" si="19"/>
        <v>-0.59975343339643827</v>
      </c>
      <c r="Q67" s="48">
        <f t="shared" si="19"/>
        <v>-0.46313270542688634</v>
      </c>
      <c r="R67" s="48">
        <f t="shared" si="19"/>
        <v>-0.3314750090835008</v>
      </c>
      <c r="S67" s="48">
        <f t="shared" si="19"/>
        <v>-0.23690266414589822</v>
      </c>
      <c r="T67" s="48">
        <f t="shared" si="19"/>
        <v>-0.11938040584510823</v>
      </c>
      <c r="U67" s="48">
        <f t="shared" ref="U67:W67" si="20">SUM(U68:U71)</f>
        <v>4.4102612671903518E-3</v>
      </c>
      <c r="V67" s="48">
        <f t="shared" si="20"/>
        <v>0.1414112561550307</v>
      </c>
      <c r="W67" s="48">
        <f t="shared" si="20"/>
        <v>0.25921751973763474</v>
      </c>
    </row>
    <row r="68" spans="2:23" outlineLevel="1" x14ac:dyDescent="0.2">
      <c r="B68" s="79" t="s">
        <v>115</v>
      </c>
      <c r="C68" s="34"/>
      <c r="D68" s="34">
        <f>C57*D36/100*(1/(1+D33/100))</f>
        <v>1.1211705707570556</v>
      </c>
      <c r="E68" s="34">
        <f>D57*E36/100*(1/(1+E33/100))</f>
        <v>1.2444369200439294</v>
      </c>
      <c r="F68" s="34">
        <f t="shared" ref="F68:W68" si="21">E57*F36/100*(1/(1+F33/100))</f>
        <v>1.4137507336400548</v>
      </c>
      <c r="G68" s="34">
        <f>F57*G36/100*(1/(1+G33/100))</f>
        <v>1.4019903431218039</v>
      </c>
      <c r="H68" s="34">
        <f t="shared" si="21"/>
        <v>1.4411663430778228</v>
      </c>
      <c r="I68" s="34">
        <f t="shared" si="21"/>
        <v>1.4652888458319282</v>
      </c>
      <c r="J68" s="34">
        <f t="shared" si="21"/>
        <v>1.4799057792034562</v>
      </c>
      <c r="K68" s="34">
        <f t="shared" si="21"/>
        <v>1.5135179778238963</v>
      </c>
      <c r="L68" s="34">
        <f t="shared" si="21"/>
        <v>1.5428342302620734</v>
      </c>
      <c r="M68" s="34">
        <f t="shared" si="21"/>
        <v>1.5749460378198514</v>
      </c>
      <c r="N68" s="34">
        <f t="shared" si="21"/>
        <v>1.6119868345131281</v>
      </c>
      <c r="O68" s="34">
        <f t="shared" si="21"/>
        <v>1.6539509463782847</v>
      </c>
      <c r="P68" s="34">
        <f t="shared" si="21"/>
        <v>1.7026336281320746</v>
      </c>
      <c r="Q68" s="34">
        <f t="shared" si="21"/>
        <v>1.7560225343061837</v>
      </c>
      <c r="R68" s="34">
        <f t="shared" si="21"/>
        <v>1.8166774274195594</v>
      </c>
      <c r="S68" s="34">
        <f t="shared" si="21"/>
        <v>1.8830117335232643</v>
      </c>
      <c r="T68" s="34">
        <f t="shared" si="21"/>
        <v>1.9554324586951091</v>
      </c>
      <c r="U68" s="34">
        <f t="shared" si="21"/>
        <v>2.0366129759817668</v>
      </c>
      <c r="V68" s="34">
        <f t="shared" si="21"/>
        <v>2.1285295101733013</v>
      </c>
      <c r="W68" s="34">
        <f t="shared" si="21"/>
        <v>2.2285005228042825</v>
      </c>
    </row>
    <row r="69" spans="2:23" outlineLevel="1" x14ac:dyDescent="0.2">
      <c r="B69" s="79" t="s">
        <v>116</v>
      </c>
      <c r="C69" s="34"/>
      <c r="D69" s="34">
        <f t="shared" ref="D69:W69" si="22">-C57*(D23/100)*(1/(1+D33/100))</f>
        <v>-1.6773450405293622</v>
      </c>
      <c r="E69" s="34">
        <f>-D57*(E23/100)*(1/(1+E33/100))</f>
        <v>-1.0397933543702287</v>
      </c>
      <c r="F69" s="34">
        <f t="shared" si="22"/>
        <v>-1.5342798415845837</v>
      </c>
      <c r="G69" s="34">
        <f t="shared" si="22"/>
        <v>-1.728778262537231</v>
      </c>
      <c r="H69" s="34">
        <f t="shared" si="22"/>
        <v>-1.1766317180991304</v>
      </c>
      <c r="I69" s="34">
        <f t="shared" si="22"/>
        <v>-1.1956822486466958</v>
      </c>
      <c r="J69" s="34">
        <f t="shared" si="22"/>
        <v>-1.2165607716031899</v>
      </c>
      <c r="K69" s="34">
        <f t="shared" si="22"/>
        <v>-1.1480496424104745</v>
      </c>
      <c r="L69" s="34">
        <f t="shared" si="22"/>
        <v>-1.1192954264943724</v>
      </c>
      <c r="M69" s="34">
        <f t="shared" si="22"/>
        <v>-1.0837840313806077</v>
      </c>
      <c r="N69" s="34">
        <f t="shared" si="22"/>
        <v>-0.98188022640056605</v>
      </c>
      <c r="O69" s="34">
        <f t="shared" si="22"/>
        <v>-0.9756948818596497</v>
      </c>
      <c r="P69" s="34">
        <f t="shared" si="22"/>
        <v>-0.9063071863818748</v>
      </c>
      <c r="Q69" s="34">
        <f t="shared" si="22"/>
        <v>-0.8417761345013457</v>
      </c>
      <c r="R69" s="34">
        <f t="shared" si="22"/>
        <v>-0.78177610754373461</v>
      </c>
      <c r="S69" s="34">
        <f t="shared" si="22"/>
        <v>-0.75782834913682418</v>
      </c>
      <c r="T69" s="34">
        <f t="shared" si="22"/>
        <v>-0.71193202619431473</v>
      </c>
      <c r="U69" s="34">
        <f t="shared" si="22"/>
        <v>-0.66198946218372168</v>
      </c>
      <c r="V69" s="34">
        <f t="shared" si="22"/>
        <v>-0.60256682193154465</v>
      </c>
      <c r="W69" s="34">
        <f t="shared" si="22"/>
        <v>-0.56473346207646502</v>
      </c>
    </row>
    <row r="70" spans="2:23" outlineLevel="1" x14ac:dyDescent="0.2">
      <c r="B70" s="79" t="s">
        <v>117</v>
      </c>
      <c r="C70" s="34"/>
      <c r="D70" s="34">
        <f t="shared" ref="D70:T70" si="23">-C57*D42/100*(1/(1+D42/100))</f>
        <v>-4.5275223150308781</v>
      </c>
      <c r="E70" s="34">
        <f>-D57*E42/100*(1/(1+E42/100))</f>
        <v>-5.9124787907447942</v>
      </c>
      <c r="F70" s="34">
        <f t="shared" si="23"/>
        <v>-2.214498839681593</v>
      </c>
      <c r="G70" s="34">
        <f t="shared" si="23"/>
        <v>-1.957811134439946</v>
      </c>
      <c r="H70" s="34">
        <f t="shared" si="23"/>
        <v>-1.8788964672492432</v>
      </c>
      <c r="I70" s="34">
        <f t="shared" si="23"/>
        <v>-1.8083491031412025</v>
      </c>
      <c r="J70" s="34">
        <f t="shared" si="23"/>
        <v>-1.7344543388078884</v>
      </c>
      <c r="K70" s="34">
        <f t="shared" si="23"/>
        <v>-1.6555009295324763</v>
      </c>
      <c r="L70" s="34">
        <f t="shared" si="23"/>
        <v>-1.585787806657645</v>
      </c>
      <c r="M70" s="34">
        <f t="shared" si="23"/>
        <v>-1.5233759994173308</v>
      </c>
      <c r="N70" s="34">
        <f t="shared" si="23"/>
        <v>-1.4678039476497404</v>
      </c>
      <c r="O70" s="34">
        <f t="shared" si="23"/>
        <v>-1.4216840756774647</v>
      </c>
      <c r="P70" s="34">
        <f t="shared" si="23"/>
        <v>-1.3960798751466381</v>
      </c>
      <c r="Q70" s="34">
        <f t="shared" si="23"/>
        <v>-1.3773791052317244</v>
      </c>
      <c r="R70" s="34">
        <f t="shared" si="23"/>
        <v>-1.3663763289593256</v>
      </c>
      <c r="S70" s="34">
        <f t="shared" si="23"/>
        <v>-1.3620860485323385</v>
      </c>
      <c r="T70" s="34">
        <f t="shared" si="23"/>
        <v>-1.3628808383459026</v>
      </c>
      <c r="U70" s="34">
        <f t="shared" ref="U70" si="24">-T57*U42/100*(1/(1+U42/100))</f>
        <v>-1.3702132525308548</v>
      </c>
      <c r="V70" s="34">
        <f t="shared" ref="V70" si="25">-U57*V42/100*(1/(1+V42/100))</f>
        <v>-1.384551432086726</v>
      </c>
      <c r="W70" s="34">
        <f t="shared" ref="W70" si="26">-V57*W42/100*(1/(1+W42/100))</f>
        <v>-1.4045495409901827</v>
      </c>
    </row>
    <row r="71" spans="2:23" outlineLevel="1" x14ac:dyDescent="0.2">
      <c r="B71" s="79" t="s">
        <v>118</v>
      </c>
      <c r="C71" s="49"/>
      <c r="D71" s="49">
        <f>'Baseline NFPC'!D70</f>
        <v>7.8480318421725315E-7</v>
      </c>
      <c r="E71" s="49">
        <f>'Baseline NFPC'!E70</f>
        <v>-7.7492891303876377E-7</v>
      </c>
      <c r="F71" s="49">
        <f>'Baseline NFPC'!F70</f>
        <v>-5.237388078782601E-8</v>
      </c>
      <c r="G71" s="49">
        <f>'Baseline NFPC'!G70</f>
        <v>2.917455272921643E-7</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1.330379</v>
      </c>
      <c r="E72" s="50">
        <f>'Input data'!E16</f>
        <v>1.2366870000000001</v>
      </c>
      <c r="F72" s="50">
        <f>'Input data'!F16</f>
        <v>-0.20000970000000001</v>
      </c>
      <c r="G72" s="50">
        <f>'Input data'!G16</f>
        <v>-0.2000015</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1.3303780000000001</v>
      </c>
      <c r="E73" s="34">
        <f t="shared" si="27"/>
        <v>1.2366839999999999</v>
      </c>
      <c r="F73" s="34">
        <f t="shared" si="27"/>
        <v>-0.20000760000000001</v>
      </c>
      <c r="G73" s="34">
        <f t="shared" si="27"/>
        <v>-0.2</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9.9999999991773336E-7</v>
      </c>
      <c r="E74" s="49">
        <f t="shared" ref="E74:T74" si="28">+E72-E73</f>
        <v>3.0000000001972893E-6</v>
      </c>
      <c r="F74" s="49">
        <f t="shared" si="28"/>
        <v>-2.1000000000048757E-6</v>
      </c>
      <c r="G74" s="49">
        <f t="shared" si="28"/>
        <v>-1.4999999999876223E-6</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0</v>
      </c>
      <c r="Q76" s="51">
        <f t="shared" si="30"/>
        <v>1</v>
      </c>
      <c r="R76" s="51">
        <f t="shared" si="30"/>
        <v>1</v>
      </c>
      <c r="S76" s="51">
        <f t="shared" si="30"/>
        <v>1</v>
      </c>
      <c r="T76" s="51">
        <f t="shared" si="30"/>
        <v>1</v>
      </c>
      <c r="U76" s="51">
        <f t="shared" si="30"/>
        <v>1</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74.367679999999993</v>
      </c>
      <c r="D84" s="110">
        <f>D57</f>
        <v>72.475954801911442</v>
      </c>
      <c r="E84" s="110">
        <f>E57</f>
        <v>69.219569977397526</v>
      </c>
      <c r="F84" s="110">
        <f>F57</f>
        <v>68.073476569055487</v>
      </c>
      <c r="G84" s="110">
        <f>G57</f>
        <v>66.450398022510456</v>
      </c>
      <c r="H84" s="110">
        <f>G84*(1+H98/100)*H43-H60-H61+H62+H63+H64+H65+H66+H72</f>
        <v>65.072880781600858</v>
      </c>
      <c r="I84" s="110">
        <f t="shared" ref="I84:T84" si="37">H84*(1+I98/100)*I43-I60-I61+I62+I63+I64+I65+I66+I72</f>
        <v>63.52490017138598</v>
      </c>
      <c r="J84" s="110">
        <f t="shared" si="37"/>
        <v>61.733292809090877</v>
      </c>
      <c r="K84" s="110">
        <f t="shared" si="37"/>
        <v>60.227522360913511</v>
      </c>
      <c r="L84" s="110">
        <f t="shared" si="37"/>
        <v>58.948635780994401</v>
      </c>
      <c r="M84" s="110">
        <f t="shared" si="37"/>
        <v>57.891444388016318</v>
      </c>
      <c r="N84" s="110">
        <f t="shared" si="37"/>
        <v>57.174000768911405</v>
      </c>
      <c r="O84" s="110">
        <f t="shared" si="37"/>
        <v>56.741169078184853</v>
      </c>
      <c r="P84" s="110">
        <f t="shared" si="37"/>
        <v>56.582954465220723</v>
      </c>
      <c r="Q84" s="110">
        <f t="shared" si="37"/>
        <v>56.74130354109009</v>
      </c>
      <c r="R84" s="110">
        <f t="shared" si="37"/>
        <v>57.185284758874133</v>
      </c>
      <c r="S84" s="110">
        <f t="shared" si="37"/>
        <v>57.855350821595792</v>
      </c>
      <c r="T84" s="110">
        <f t="shared" si="37"/>
        <v>58.821502666822511</v>
      </c>
      <c r="U84" s="110">
        <f>T84*(1+U98/100)*U43-U60-U61+U62+U63+U64+U65+U66+U72</f>
        <v>60.11419860437632</v>
      </c>
      <c r="V84" s="110">
        <f t="shared" ref="V84:W84" si="38">U84*(1+V98/100)*V43-V60-V61+V62+V63+V64+V65+V66+V72</f>
        <v>61.685645720826422</v>
      </c>
      <c r="W84" s="110">
        <f t="shared" si="38"/>
        <v>63.516114018937067</v>
      </c>
    </row>
    <row r="85" spans="2:23" x14ac:dyDescent="0.2">
      <c r="B85" s="26" t="s">
        <v>127</v>
      </c>
      <c r="C85" s="34"/>
      <c r="D85" s="254">
        <f>'Input data'!C66*$D$84</f>
        <v>64.060964244374262</v>
      </c>
      <c r="E85" s="34">
        <f t="shared" ref="E85" si="39">IF(E84=0,0,IF(E80=1,D84*E43/((1+E23/100)*(1+E42/100))-E86-E87,IF(AND(E80=0,E81=1),(1-D90-E39*D91)*D84*E43/((1+E23/100)*(1+E42/100)),E84)))</f>
        <v>62.18233333201178</v>
      </c>
      <c r="F85" s="34">
        <f t="shared" ref="F85" si="40">IF(F84=0,0,IF(F80=1,E84*F43/((1+F23/100)*(1+F42/100))-F86-F87,IF(AND(F80=0,F81=1),(1-E90-F39*E91)*E84*F43/((1+F23/100)*(1+F42/100)),F84)))</f>
        <v>60.507217589514426</v>
      </c>
      <c r="G85" s="34">
        <f t="shared" ref="G85" si="41">IF(G84=0,0,IF(G80=1,F84*G43/((1+G23/100)*(1+G42/100))-G86-G87,IF(AND(G80=0,G81=1),(1-F90-G39*F91)*F84*G43/((1+G23/100)*(1+G42/100)),G84)))</f>
        <v>59.437354139717577</v>
      </c>
      <c r="H85" s="34">
        <f t="shared" ref="H85:W85" si="42">IF(H84=0,0,IF(H80=1,G84*H43/((1+H23/100)*(1+H42/100))-H86-H87,IF(AND(H80=0,H81=1),(1-G90-H39*G91)*G84*H43/((1+H23/100)*(1+H42/100)),H84)))</f>
        <v>58.458440753875998</v>
      </c>
      <c r="I85" s="34">
        <f t="shared" si="42"/>
        <v>57.176529407960757</v>
      </c>
      <c r="J85" s="34">
        <f t="shared" si="42"/>
        <v>55.743130935855639</v>
      </c>
      <c r="K85" s="34">
        <f t="shared" si="42"/>
        <v>54.177178094239643</v>
      </c>
      <c r="L85" s="34">
        <f t="shared" si="42"/>
        <v>52.830832391859545</v>
      </c>
      <c r="M85" s="34">
        <f t="shared" si="42"/>
        <v>51.693979023524889</v>
      </c>
      <c r="N85" s="34">
        <f t="shared" si="42"/>
        <v>50.816447892785057</v>
      </c>
      <c r="O85" s="34">
        <f t="shared" si="42"/>
        <v>50.154503705607723</v>
      </c>
      <c r="P85" s="34">
        <f t="shared" si="42"/>
        <v>49.83435067004654</v>
      </c>
      <c r="Q85" s="34">
        <f t="shared" si="42"/>
        <v>49.754292749485245</v>
      </c>
      <c r="R85" s="34">
        <f t="shared" si="42"/>
        <v>49.952000753718799</v>
      </c>
      <c r="S85" s="34">
        <f t="shared" si="42"/>
        <v>50.371323586147959</v>
      </c>
      <c r="T85" s="34">
        <f t="shared" si="42"/>
        <v>51.012407686706013</v>
      </c>
      <c r="U85" s="34">
        <f t="shared" si="42"/>
        <v>51.921312323232357</v>
      </c>
      <c r="V85" s="34">
        <f t="shared" si="42"/>
        <v>53.130265798946439</v>
      </c>
      <c r="W85" s="34">
        <f t="shared" si="42"/>
        <v>54.568601952167704</v>
      </c>
    </row>
    <row r="86" spans="2:23" x14ac:dyDescent="0.2">
      <c r="B86" s="105" t="s">
        <v>128</v>
      </c>
      <c r="C86" s="34"/>
      <c r="D86" s="254">
        <f>'Input data'!C67*$D$84</f>
        <v>2.6359801746474867</v>
      </c>
      <c r="E86" s="34">
        <f t="shared" ref="E86" si="43">IF(E84=0,0,IF(E80=1,E39*D84*D91*E43/((1+E23/100)*(1+E42/100)),IF(AND(E80=0,E81=1),(E39*D84*D91*E43/((1+E23/100)*(1+E42/100)))*(1-ABS(E84-D84*E43/((1+E23/100)*(1+E42/100)))/((E39*D84*D91*E43/((1+E23/100)*(1+E42/100)))+(D90*D84*E43/((1+E23/100)*(1+E42/100))))),0)))</f>
        <v>1.9322374906716235</v>
      </c>
      <c r="F86" s="34">
        <f t="shared" ref="F86" si="44">IF(F84=0,0,IF(F80=1,F39*E84*E91*F43/((1+F23/100)*(1+F42/100)),IF(AND(F80=0,F81=1),(F39*E84*E91*F43/((1+F23/100)*(1+F42/100)))*(1-ABS(F84-E84*F43/((1+F23/100)*(1+F42/100)))/((F39*E84*E91*F43/((1+F23/100)*(1+F42/100)))+(E90*E84*F43/((1+F23/100)*(1+F42/100))))),0)))</f>
        <v>3.5267677960902559</v>
      </c>
      <c r="G86" s="34">
        <f t="shared" ref="G86" si="45">IF(G84=0,0,IF(G80=1,G39*F84*F91*G43/((1+G23/100)*(1+G42/100)),IF(AND(G80=0,G81=1),(G39*F84*F91*G43/((1+G23/100)*(1+G42/100)))*(1-ABS(G84-F84*G43/((1+G23/100)*(1+G42/100)))/((G39*F84*F91*G43/((1+G23/100)*(1+G42/100)))+(F90*F84*G43/((1+G23/100)*(1+G42/100))))),0)))</f>
        <v>3.5173052919428565</v>
      </c>
      <c r="H86" s="34">
        <f t="shared" ref="H86:W86" si="46">IF(H84=0,0,IF(H80=1,H39*G84*G91*H43/((1+H23/100)*(1+H42/100)),IF(AND(H80=0,H81=1),(H39*G84*G91*H43/((1+H23/100)*(1+H42/100)))*(1-ABS(H84-G84*H43/((1+H23/100)*(1+H42/100)))/((H39*G84*G91*H43/((1+H23/100)*(1+H42/100)))+(G90*G84*H43/((1+H23/100)*(1+H42/100))))),0)))</f>
        <v>3.51148917275659</v>
      </c>
      <c r="I86" s="34">
        <f t="shared" si="46"/>
        <v>3.4855429921019603</v>
      </c>
      <c r="J86" s="34">
        <f t="shared" si="46"/>
        <v>3.4480212825136909</v>
      </c>
      <c r="K86" s="34">
        <f t="shared" si="46"/>
        <v>3.3996993388783237</v>
      </c>
      <c r="L86" s="34">
        <f t="shared" si="46"/>
        <v>3.3626286996545707</v>
      </c>
      <c r="M86" s="34">
        <f t="shared" si="46"/>
        <v>3.3367418394470021</v>
      </c>
      <c r="N86" s="34">
        <f t="shared" si="46"/>
        <v>3.3258600703182237</v>
      </c>
      <c r="O86" s="34">
        <f t="shared" si="46"/>
        <v>3.3277782943618468</v>
      </c>
      <c r="P86" s="34">
        <f t="shared" si="46"/>
        <v>3.3065359682714894</v>
      </c>
      <c r="Q86" s="34">
        <f t="shared" si="46"/>
        <v>3.3012240821864554</v>
      </c>
      <c r="R86" s="34">
        <f t="shared" si="46"/>
        <v>3.3143421145963026</v>
      </c>
      <c r="S86" s="34">
        <f t="shared" si="46"/>
        <v>3.3421644100431638</v>
      </c>
      <c r="T86" s="34">
        <f t="shared" si="46"/>
        <v>3.3847006848953667</v>
      </c>
      <c r="U86" s="34">
        <f t="shared" si="46"/>
        <v>3.4450069963451009</v>
      </c>
      <c r="V86" s="34">
        <f t="shared" si="46"/>
        <v>3.5252217096436156</v>
      </c>
      <c r="W86" s="34">
        <f t="shared" si="46"/>
        <v>3.620656086958578</v>
      </c>
    </row>
    <row r="87" spans="2:23" x14ac:dyDescent="0.2">
      <c r="B87" s="105" t="s">
        <v>129</v>
      </c>
      <c r="C87" s="34"/>
      <c r="D87" s="254">
        <f>'Input data'!C68*$D$84</f>
        <v>1.4658670971213696</v>
      </c>
      <c r="E87" s="34">
        <f t="shared" ref="E87" si="47">IF(E84=0,0,IF(E80=1,(1-D91)*D84*E43/((1+E23/100)*(1+E42/100)),IF(AND(E80=0,E81=1),(D90*D84*E43/((1+E23/100)*(1+E42/100)))*(1-ABS(E84-D84*E43/((1+E23/100)*(1+E42/100)))/((E39*D84*D91*E43/((1+E23/100)*(1+E42/100)))+(D90*D84*E43/((1+E23/100)*(1+E42/100))))),0)))</f>
        <v>1.4091118341130224</v>
      </c>
      <c r="F87" s="34">
        <f t="shared" ref="F87" si="48">IF(F84=0,0,IF(F80=1,(1-E91)*E84*F43/((1+F23/100)*(1+F42/100)),IF(AND(F80=0,F81=1),(E90*E84*F43/((1+F23/100)*(1+F42/100)))*(1-ABS(F84-E84*F43/((1+F23/100)*(1+F42/100)))/((F39*E84*E91*F43/((1+F23/100)*(1+F42/100)))+(E90*E84*F43/((1+F23/100)*(1+F42/100))))),0)))</f>
        <v>1.4367993634475367</v>
      </c>
      <c r="G87" s="34">
        <f t="shared" ref="G87" si="49">IF(G84=0,0,IF(G80=1,(1-F91)*F84*G43/((1+G23/100)*(1+G42/100)),IF(AND(G80=0,G81=1),(F90*F84*G43/((1+G23/100)*(1+G42/100)))*(1-ABS(G84-F84*G43/((1+G23/100)*(1+G42/100)))/((G39*F84*F91*G43/((1+G23/100)*(1+G42/100)))+(F90*F84*G43/((1+G23/100)*(1+G42/100))))),0)))</f>
        <v>1.4322277404178707</v>
      </c>
      <c r="H87" s="34">
        <f t="shared" ref="H87:W87" si="50">IF(H84=0,0,IF(H80=1,(1-G91)*G84*H43/((1+H23/100)*(1+H42/100)),IF(AND(H80=0,H81=1),(G90*G84*H43/((1+H23/100)*(1+H42/100)))*(1-ABS(H84-G84*H43/((1+H23/100)*(1+H42/100)))/((H39*G84*G91*H43/((1+H23/100)*(1+H42/100)))+(G90*G84*H43/((1+H23/100)*(1+H42/100))))),0)))</f>
        <v>1.4249399105294887</v>
      </c>
      <c r="I87" s="34">
        <f t="shared" si="50"/>
        <v>1.4067770297502442</v>
      </c>
      <c r="J87" s="34">
        <f t="shared" si="50"/>
        <v>1.3827328426055636</v>
      </c>
      <c r="K87" s="34">
        <f t="shared" si="50"/>
        <v>1.3528648040299633</v>
      </c>
      <c r="L87" s="34">
        <f t="shared" si="50"/>
        <v>1.3289780362473695</v>
      </c>
      <c r="M87" s="34">
        <f t="shared" si="50"/>
        <v>1.3107548872245705</v>
      </c>
      <c r="N87" s="34">
        <f t="shared" si="50"/>
        <v>1.2994522508627278</v>
      </c>
      <c r="O87" s="34">
        <f t="shared" si="50"/>
        <v>1.2943398114047135</v>
      </c>
      <c r="P87" s="34">
        <f t="shared" si="50"/>
        <v>1.2978953783383</v>
      </c>
      <c r="Q87" s="34">
        <f t="shared" si="50"/>
        <v>1.3082823938159409</v>
      </c>
      <c r="R87" s="34">
        <f t="shared" si="50"/>
        <v>1.3268082362719238</v>
      </c>
      <c r="S87" s="34">
        <f t="shared" si="50"/>
        <v>1.3518823650138487</v>
      </c>
      <c r="T87" s="34">
        <f t="shared" si="50"/>
        <v>1.3834295854542029</v>
      </c>
      <c r="U87" s="34">
        <f t="shared" si="50"/>
        <v>1.4229806325304719</v>
      </c>
      <c r="V87" s="34">
        <f t="shared" si="50"/>
        <v>1.4715928417680011</v>
      </c>
      <c r="W87" s="34">
        <f t="shared" si="50"/>
        <v>1.5271046786334816</v>
      </c>
    </row>
    <row r="88" spans="2:23" x14ac:dyDescent="0.2">
      <c r="B88" s="105" t="s">
        <v>130</v>
      </c>
      <c r="C88" s="34"/>
      <c r="D88" s="254">
        <f>'Input data'!C69*$D$84</f>
        <v>4.2203872796227522</v>
      </c>
      <c r="E88" s="34">
        <f>IF(E84=0,0,IF(E80=1,'Input data'!$C$58*(E84-D84*E43/((1+E23/100)*(1+E42/100))),0))</f>
        <v>3.5859302377484346</v>
      </c>
      <c r="F88" s="34">
        <f>IF(F84=0,0,IF(F80=1,'Input data'!$C$58*(F84-E84*F43/((1+F23/100)*(1+F42/100))),0))</f>
        <v>2.5252586151279912</v>
      </c>
      <c r="G88" s="34">
        <f>IF(G84=0,0,IF(G80=1,'Input data'!$C$58*(G84-F84*G43/((1+G23/100)*(1+G42/100))),0))</f>
        <v>2.0021189264187753</v>
      </c>
      <c r="H88" s="34">
        <f>IF(H84=0,0,IF(H80=1,'Input data'!$C$58*(H84-G84*H43/((1+H23/100)*(1+H42/100))),0))</f>
        <v>1.6280881052285947</v>
      </c>
      <c r="I88" s="34">
        <f>IF(I84=0,0,IF(I80=1,'Input data'!$C$58*(I84-H84*I43/((1+I23/100)*(1+I42/100))),0))</f>
        <v>1.4127314847503287</v>
      </c>
      <c r="J88" s="34">
        <f>IF(J84=0,0,IF(J80=1,'Input data'!$C$58*(J84-I84*J43/((1+J23/100)*(1+J42/100))),0))</f>
        <v>1.1249139763202334</v>
      </c>
      <c r="K88" s="34">
        <f>IF(K84=0,0,IF(K80=1,'Input data'!$C$58*(K84-J84*K43/((1+K23/100)*(1+K42/100))),0))</f>
        <v>1.2591696077474093</v>
      </c>
      <c r="L88" s="34">
        <f>IF(L84=0,0,IF(L80=1,'Input data'!$C$58*(L84-K84*L43/((1+L23/100)*(1+L42/100))),0))</f>
        <v>1.3837655913632509</v>
      </c>
      <c r="M88" s="34">
        <f>IF(M84=0,0,IF(M80=1,'Input data'!$C$58*(M84-L84*M43/((1+M23/100)*(1+M42/100))),0))</f>
        <v>1.5038552108823529</v>
      </c>
      <c r="N88" s="34">
        <f>IF(N84=0,0,IF(N80=1,'Input data'!$C$58*(N84-M84*N43/((1+N23/100)*(1+N42/100))),0))</f>
        <v>1.6807043197471074</v>
      </c>
      <c r="O88" s="34">
        <f>IF(O84=0,0,IF(O80=1,'Input data'!$C$58*(O84-N84*O43/((1+O23/100)*(1+O42/100))),0))</f>
        <v>1.906099628166235</v>
      </c>
      <c r="P88" s="34">
        <f>IF(P84=0,0,IF(P80=1,'Input data'!$C$58*(P84-O84*P43/((1+P23/100)*(1+P42/100))),0))</f>
        <v>2.0803807452126613</v>
      </c>
      <c r="Q88" s="34">
        <f>IF(Q84=0,0,IF(Q80=1,'Input data'!$C$58*(Q84-P84*Q43/((1+Q23/100)*(1+Q42/100))),0))</f>
        <v>2.3067707092080925</v>
      </c>
      <c r="R88" s="34">
        <f>IF(R84=0,0,IF(R80=1,'Input data'!$C$58*(R84-Q84*R43/((1+R23/100)*(1+R42/100))),0))</f>
        <v>2.5150145675116837</v>
      </c>
      <c r="S88" s="34">
        <f>IF(S84=0,0,IF(S80=1,'Input data'!$C$58*(S84-R84*S43/((1+S23/100)*(1+S42/100))),0))</f>
        <v>2.7069751937176427</v>
      </c>
      <c r="T88" s="34">
        <f>IF(T84=0,0,IF(T80=1,'Input data'!$C$58*(T84-S84*T43/((1+T23/100)*(1+T42/100))),0))</f>
        <v>2.9504923604937141</v>
      </c>
      <c r="U88" s="34">
        <f>IF(U84=0,0,IF(U80=1,'Input data'!$C$58*(U84-T84*U43/((1+U23/100)*(1+U42/100))),0))</f>
        <v>3.2259789274850208</v>
      </c>
      <c r="V88" s="34">
        <f>IF(V84=0,0,IF(V80=1,'Input data'!$C$58*(V84-U84*V43/((1+V23/100)*(1+V42/100))),0))</f>
        <v>3.4526937804184867</v>
      </c>
      <c r="W88" s="34">
        <f>IF(W84=0,0,IF(W80=1,'Input data'!$C$58*(W84-V84*W43/((1+W23/100)*(1+W42/100))),0))</f>
        <v>3.6867041402657161</v>
      </c>
    </row>
    <row r="89" spans="2:23" x14ac:dyDescent="0.2">
      <c r="B89" s="107" t="s">
        <v>131</v>
      </c>
      <c r="C89" s="49"/>
      <c r="D89" s="255">
        <f>'Input data'!C70*$D$84</f>
        <v>9.275580614555777E-2</v>
      </c>
      <c r="E89" s="49">
        <f>IF(E84=0,0,IF(E80=1,'Input data'!$C$57*(E84-D84*E43/((1+E23/100)*(1+E42/100))),0))</f>
        <v>0.1099570828526675</v>
      </c>
      <c r="F89" s="49">
        <f>IF(F84=0,0,IF(F80=1,'Input data'!$C$57*(F84-E84*F43/((1+F23/100)*(1+F42/100))),0))</f>
        <v>7.7433204875281353E-2</v>
      </c>
      <c r="G89" s="49">
        <f>IF(G84=0,0,IF(G80=1,'Input data'!$C$57*(G84-F84*G43/((1+G23/100)*(1+G42/100))),0))</f>
        <v>6.1391924013377043E-2</v>
      </c>
      <c r="H89" s="49">
        <f>IF(H84=0,0,IF(H80=1,'Input data'!$C$57*(H84-G84*H43/((1+H23/100)*(1+H42/100))),0))</f>
        <v>4.9922839210187087E-2</v>
      </c>
      <c r="I89" s="49">
        <f>IF(I84=0,0,IF(I80=1,'Input data'!$C$57*(I84-H84*I43/((1+I23/100)*(1+I42/100))),0))</f>
        <v>4.3319256822687106E-2</v>
      </c>
      <c r="J89" s="49">
        <f>IF(J84=0,0,IF(J80=1,'Input data'!$C$57*(J84-I84*J43/((1+J23/100)*(1+J42/100))),0))</f>
        <v>3.4493771795748189E-2</v>
      </c>
      <c r="K89" s="49">
        <f>IF(K84=0,0,IF(K80=1,'Input data'!$C$57*(K84-J84*K43/((1+K23/100)*(1+K42/100))),0))</f>
        <v>3.861051601817464E-2</v>
      </c>
      <c r="L89" s="49">
        <f>IF(L84=0,0,IF(L80=1,'Input data'!$C$57*(L84-K84*L43/((1+L23/100)*(1+L42/100))),0))</f>
        <v>4.243106186966307E-2</v>
      </c>
      <c r="M89" s="49">
        <f>IF(M84=0,0,IF(M80=1,'Input data'!$C$57*(M84-L84*M43/((1+M23/100)*(1+M42/100))),0))</f>
        <v>4.6113426937506183E-2</v>
      </c>
      <c r="N89" s="49">
        <f>IF(N84=0,0,IF(N80=1,'Input data'!$C$57*(N84-M84*N43/((1+N23/100)*(1+N42/100))),0))</f>
        <v>5.153623519829155E-2</v>
      </c>
      <c r="O89" s="49">
        <f>IF(O84=0,0,IF(O80=1,'Input data'!$C$57*(O84-N84*O43/((1+O23/100)*(1+O42/100))),0))</f>
        <v>5.8447638644334617E-2</v>
      </c>
      <c r="P89" s="49">
        <f>IF(P84=0,0,IF(P80=1,'Input data'!$C$57*(P84-O84*P43/((1+P23/100)*(1+P42/100))),0))</f>
        <v>6.3791703351728887E-2</v>
      </c>
      <c r="Q89" s="49">
        <f>IF(Q84=0,0,IF(Q80=1,'Input data'!$C$57*(Q84-P84*Q43/((1+Q23/100)*(1+Q42/100))),0))</f>
        <v>7.0733606394351417E-2</v>
      </c>
      <c r="R89" s="49">
        <f>IF(R84=0,0,IF(R80=1,'Input data'!$C$57*(R84-Q84*R43/((1+R23/100)*(1+R42/100))),0))</f>
        <v>7.7119086775426671E-2</v>
      </c>
      <c r="S89" s="49">
        <f>IF(S84=0,0,IF(S80=1,'Input data'!$C$57*(S84-R84*S43/((1+S23/100)*(1+S42/100))),0))</f>
        <v>8.3005266673179423E-2</v>
      </c>
      <c r="T89" s="49">
        <f>IF(T84=0,0,IF(T80=1,'Input data'!$C$57*(T84-S84*T43/((1+T23/100)*(1+T42/100))),0))</f>
        <v>9.0472349273217942E-2</v>
      </c>
      <c r="U89" s="49">
        <f>IF(U84=0,0,IF(U80=1,'Input data'!$C$57*(U84-T84*U43/((1+U23/100)*(1+U42/100))),0))</f>
        <v>9.891972478336726E-2</v>
      </c>
      <c r="V89" s="49">
        <f>IF(V84=0,0,IF(V80=1,'Input data'!$C$57*(V84-U84*V43/((1+V23/100)*(1+V42/100))),0))</f>
        <v>0.10587159004987842</v>
      </c>
      <c r="W89" s="49">
        <f>IF(W84=0,0,IF(W80=1,'Input data'!$C$57*(W84-V84*W43/((1+W23/100)*(1+W42/100))),0))</f>
        <v>0.11304716091158615</v>
      </c>
    </row>
    <row r="90" spans="2:23" x14ac:dyDescent="0.2">
      <c r="B90" s="26" t="s">
        <v>73</v>
      </c>
      <c r="C90" s="34"/>
      <c r="D90" s="260">
        <f>'Baseline NFPC'!$D$93</f>
        <v>2.1505382130210027E-2</v>
      </c>
      <c r="E90" s="34">
        <f t="shared" ref="E90:G90" si="51">IF(E84&lt;&gt;0,(E87+E89)/(E85+E86+E87+E88+E89),0)</f>
        <v>2.1945656661284028E-2</v>
      </c>
      <c r="F90" s="34">
        <f t="shared" si="51"/>
        <v>2.2244090424656679E-2</v>
      </c>
      <c r="G90" s="34">
        <f t="shared" si="51"/>
        <v>2.2477211707976161E-2</v>
      </c>
      <c r="H90" s="34">
        <f t="shared" ref="H90:W90" si="52">IF(H84&lt;&gt;0,(H87+H89)/(H85+H86+H87+H88+H89),0)</f>
        <v>2.266478342475178E-2</v>
      </c>
      <c r="I90" s="34">
        <f t="shared" si="52"/>
        <v>2.2827210789165622E-2</v>
      </c>
      <c r="J90" s="34">
        <f t="shared" si="52"/>
        <v>2.2957249644597125E-2</v>
      </c>
      <c r="K90" s="34">
        <f t="shared" si="52"/>
        <v>2.3103645401677329E-2</v>
      </c>
      <c r="L90" s="34">
        <f t="shared" si="52"/>
        <v>2.3264475588749552E-2</v>
      </c>
      <c r="M90" s="34">
        <f t="shared" si="52"/>
        <v>2.3438149255141955E-2</v>
      </c>
      <c r="N90" s="34">
        <f t="shared" si="52"/>
        <v>2.3629420154127553E-2</v>
      </c>
      <c r="O90" s="34">
        <f t="shared" si="52"/>
        <v>2.3841374297117739E-2</v>
      </c>
      <c r="P90" s="34">
        <f t="shared" si="52"/>
        <v>2.4065323109400436E-2</v>
      </c>
      <c r="Q90" s="34">
        <f t="shared" si="52"/>
        <v>2.4303565729885929E-2</v>
      </c>
      <c r="R90" s="34">
        <f t="shared" si="52"/>
        <v>2.4550499817691057E-2</v>
      </c>
      <c r="S90" s="34">
        <f t="shared" si="52"/>
        <v>2.4801295149202082E-2</v>
      </c>
      <c r="T90" s="34">
        <f t="shared" si="52"/>
        <v>2.5057196227643394E-2</v>
      </c>
      <c r="U90" s="34">
        <f t="shared" si="52"/>
        <v>2.5316820196336191E-2</v>
      </c>
      <c r="V90" s="34">
        <f t="shared" si="52"/>
        <v>2.5572633849973513E-2</v>
      </c>
      <c r="W90" s="34">
        <f t="shared" si="52"/>
        <v>2.5822609976675577E-2</v>
      </c>
    </row>
    <row r="91" spans="2:23" x14ac:dyDescent="0.2">
      <c r="B91" s="35" t="s">
        <v>74</v>
      </c>
      <c r="C91" s="49"/>
      <c r="D91" s="261">
        <f>'Baseline NFPC'!$D$94</f>
        <v>0.97849461786978997</v>
      </c>
      <c r="E91" s="49">
        <f t="shared" ref="E91:G91" si="53">IF(E84&lt;&gt;0,(E85+E86+E88)/(E85+E86+E87+E88+E89),1)</f>
        <v>0.97805434333871588</v>
      </c>
      <c r="F91" s="49">
        <f t="shared" si="53"/>
        <v>0.97775590957534342</v>
      </c>
      <c r="G91" s="49">
        <f t="shared" si="53"/>
        <v>0.97752278829202377</v>
      </c>
      <c r="H91" s="49">
        <f t="shared" ref="H91:W91" si="54">IF(H84&lt;&gt;0,(H85+H86+H88)/(H85+H86+H87+H88+H89),1)</f>
        <v>0.97733521657524813</v>
      </c>
      <c r="I91" s="49">
        <f t="shared" si="54"/>
        <v>0.97717278921083439</v>
      </c>
      <c r="J91" s="49">
        <f t="shared" si="54"/>
        <v>0.97704275035540289</v>
      </c>
      <c r="K91" s="49">
        <f t="shared" si="54"/>
        <v>0.97689635459832269</v>
      </c>
      <c r="L91" s="49">
        <f t="shared" si="54"/>
        <v>0.97673552441125044</v>
      </c>
      <c r="M91" s="49">
        <f t="shared" si="54"/>
        <v>0.97656185074485802</v>
      </c>
      <c r="N91" s="49">
        <f t="shared" si="54"/>
        <v>0.97637057984587239</v>
      </c>
      <c r="O91" s="49">
        <f t="shared" si="54"/>
        <v>0.97615862570288237</v>
      </c>
      <c r="P91" s="49">
        <f t="shared" si="54"/>
        <v>0.97593467689059943</v>
      </c>
      <c r="Q91" s="49">
        <f t="shared" si="54"/>
        <v>0.9756964342701141</v>
      </c>
      <c r="R91" s="49">
        <f t="shared" si="54"/>
        <v>0.97544950018230903</v>
      </c>
      <c r="S91" s="49">
        <f t="shared" si="54"/>
        <v>0.97519870485079796</v>
      </c>
      <c r="T91" s="49">
        <f t="shared" si="54"/>
        <v>0.97494280377235654</v>
      </c>
      <c r="U91" s="49">
        <f t="shared" si="54"/>
        <v>0.97468317980366381</v>
      </c>
      <c r="V91" s="49">
        <f t="shared" si="54"/>
        <v>0.97442736615002645</v>
      </c>
      <c r="W91" s="49">
        <f t="shared" si="54"/>
        <v>0.97417739002332437</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1.7379093170166016</v>
      </c>
      <c r="D93" s="115">
        <f>D105</f>
        <v>1.644842267036438</v>
      </c>
      <c r="E93" s="115">
        <f t="shared" ref="E93:G93" si="55">E95+E96</f>
        <v>1.8992170000000002</v>
      </c>
      <c r="F93" s="115">
        <f t="shared" si="55"/>
        <v>2.1593610000000001</v>
      </c>
      <c r="G93" s="115">
        <f t="shared" si="55"/>
        <v>2.1774469999999999</v>
      </c>
      <c r="H93" s="115">
        <f t="shared" ref="H93:W93" si="56">H95+H96</f>
        <v>2.2733169841339604</v>
      </c>
      <c r="I93" s="115">
        <f t="shared" si="56"/>
        <v>2.3607475558071473</v>
      </c>
      <c r="J93" s="115">
        <f t="shared" si="56"/>
        <v>2.4431415909904963</v>
      </c>
      <c r="K93" s="115">
        <f t="shared" si="56"/>
        <v>2.5683431156598728</v>
      </c>
      <c r="L93" s="115">
        <f t="shared" si="56"/>
        <v>2.6821432707944246</v>
      </c>
      <c r="M93" s="115">
        <f t="shared" si="56"/>
        <v>2.7953581564010777</v>
      </c>
      <c r="N93" s="115">
        <f t="shared" si="56"/>
        <v>2.9075318465575393</v>
      </c>
      <c r="O93" s="115">
        <f t="shared" si="56"/>
        <v>3.0194467852978204</v>
      </c>
      <c r="P93" s="115">
        <f t="shared" si="56"/>
        <v>3.1276115391617871</v>
      </c>
      <c r="Q93" s="115">
        <f t="shared" si="56"/>
        <v>3.2301321087266839</v>
      </c>
      <c r="R93" s="115">
        <f t="shared" si="56"/>
        <v>3.3276654500841225</v>
      </c>
      <c r="S93" s="115">
        <f t="shared" si="56"/>
        <v>3.419593332745289</v>
      </c>
      <c r="T93" s="115">
        <f t="shared" si="56"/>
        <v>3.5055819293111909</v>
      </c>
      <c r="U93" s="115">
        <f t="shared" si="56"/>
        <v>3.586261809353704</v>
      </c>
      <c r="V93" s="115">
        <f t="shared" si="56"/>
        <v>3.661855192697963</v>
      </c>
      <c r="W93" s="115">
        <f t="shared" si="56"/>
        <v>3.7318088734522408</v>
      </c>
    </row>
    <row r="94" spans="2:23" x14ac:dyDescent="0.2">
      <c r="B94" s="33" t="s">
        <v>133</v>
      </c>
      <c r="C94" s="34"/>
      <c r="D94" s="34"/>
      <c r="E94" s="266">
        <f>((E36*D84)-(E38*(D87+D89)))/(D85+D86+D88)</f>
        <v>1.8655734180047423</v>
      </c>
      <c r="F94" s="266">
        <f t="shared" ref="F94:G94" si="57">((F36*E84)-(F38*(E87+E89)))/(E85+E86+E88)</f>
        <v>2.1278389377203197</v>
      </c>
      <c r="G94" s="266">
        <f t="shared" si="57"/>
        <v>2.1629112942398399</v>
      </c>
      <c r="H94" s="34">
        <f t="shared" ref="H94:W94" si="58">IF(G84&gt;0,(G94*G85+H37*(G88+G86))/(G85+G86+G88),H37)</f>
        <v>2.2610893811019768</v>
      </c>
      <c r="I94" s="34">
        <f t="shared" si="58"/>
        <v>2.3507048143959435</v>
      </c>
      <c r="J94" s="34">
        <f t="shared" si="58"/>
        <v>2.4352135973293265</v>
      </c>
      <c r="K94" s="34">
        <f t="shared" si="58"/>
        <v>2.5518275567828796</v>
      </c>
      <c r="L94" s="34">
        <f t="shared" si="58"/>
        <v>2.6684781879833972</v>
      </c>
      <c r="M94" s="34">
        <f t="shared" si="58"/>
        <v>2.7845611100238679</v>
      </c>
      <c r="N94" s="34">
        <f t="shared" si="58"/>
        <v>2.8996153713193169</v>
      </c>
      <c r="O94" s="34">
        <f t="shared" si="58"/>
        <v>3.014445754497642</v>
      </c>
      <c r="P94" s="34">
        <f t="shared" si="58"/>
        <v>3.1260930229771753</v>
      </c>
      <c r="Q94" s="34">
        <f t="shared" si="58"/>
        <v>3.2320222287745533</v>
      </c>
      <c r="R94" s="34">
        <f t="shared" si="58"/>
        <v>3.3329085070986855</v>
      </c>
      <c r="S94" s="34">
        <f t="shared" si="58"/>
        <v>3.428118405561726</v>
      </c>
      <c r="T94" s="34">
        <f t="shared" si="58"/>
        <v>3.5173064679847088</v>
      </c>
      <c r="U94" s="34">
        <f t="shared" si="58"/>
        <v>3.6011170701231365</v>
      </c>
      <c r="V94" s="34">
        <f t="shared" si="58"/>
        <v>3.6797748520139262</v>
      </c>
      <c r="W94" s="34">
        <f t="shared" si="58"/>
        <v>3.752702967536552</v>
      </c>
    </row>
    <row r="95" spans="2:23" x14ac:dyDescent="0.2">
      <c r="B95" s="26" t="s">
        <v>134</v>
      </c>
      <c r="C95" s="34"/>
      <c r="D95" s="34"/>
      <c r="E95" s="34">
        <f t="shared" ref="E95" si="59">(E94*(D85+D86+D88)+E38*(D87+D89))/D84</f>
        <v>1.8992170000000002</v>
      </c>
      <c r="F95" s="34">
        <f t="shared" ref="F95" si="60">(F94*(E85+E86+E88)+F38*(E87+E89))/E84</f>
        <v>2.1593610000000001</v>
      </c>
      <c r="G95" s="34">
        <f t="shared" ref="G95" si="61">(G94*(F85+F86+F88)+G38*(F87+F89))/F84</f>
        <v>2.1774469999999999</v>
      </c>
      <c r="H95" s="34">
        <f t="shared" ref="H95:W95" si="62">(H94*(G85+G86+G88)+H38*(G87+G89))/G84</f>
        <v>2.2733169841339604</v>
      </c>
      <c r="I95" s="34">
        <f t="shared" si="62"/>
        <v>2.3607475558071473</v>
      </c>
      <c r="J95" s="34">
        <f t="shared" si="62"/>
        <v>2.4431415909904963</v>
      </c>
      <c r="K95" s="34">
        <f t="shared" si="62"/>
        <v>2.5683431156598728</v>
      </c>
      <c r="L95" s="34">
        <f t="shared" si="62"/>
        <v>2.6821432707944246</v>
      </c>
      <c r="M95" s="34">
        <f t="shared" si="62"/>
        <v>2.7953581564010777</v>
      </c>
      <c r="N95" s="34">
        <f t="shared" si="62"/>
        <v>2.9075318465575393</v>
      </c>
      <c r="O95" s="34">
        <f t="shared" si="62"/>
        <v>3.0194467852978204</v>
      </c>
      <c r="P95" s="34">
        <f t="shared" si="62"/>
        <v>3.1276115391617871</v>
      </c>
      <c r="Q95" s="34">
        <f t="shared" si="62"/>
        <v>3.2301321087266839</v>
      </c>
      <c r="R95" s="34">
        <f t="shared" si="62"/>
        <v>3.3276654500841225</v>
      </c>
      <c r="S95" s="34">
        <f t="shared" si="62"/>
        <v>3.419593332745289</v>
      </c>
      <c r="T95" s="34">
        <f t="shared" si="62"/>
        <v>3.5055819293111909</v>
      </c>
      <c r="U95" s="34">
        <f t="shared" si="62"/>
        <v>3.586261809353704</v>
      </c>
      <c r="V95" s="34">
        <f t="shared" si="62"/>
        <v>3.661855192697963</v>
      </c>
      <c r="W95" s="34">
        <f t="shared" si="62"/>
        <v>3.7318088734522408</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-8.4474864980197406</v>
      </c>
      <c r="D98" s="115">
        <f t="shared" ref="D98:T98" si="63">((1+D93/100)/((1+D23/100)*(1+D42/100))-1)*100</f>
        <v>-6.8358951130163659</v>
      </c>
      <c r="E98" s="115">
        <f t="shared" si="63"/>
        <v>-7.87548814040675</v>
      </c>
      <c r="F98" s="115">
        <f t="shared" si="63"/>
        <v>-3.373363845497146</v>
      </c>
      <c r="G98" s="115">
        <f t="shared" si="63"/>
        <v>-3.3560781217598312</v>
      </c>
      <c r="H98" s="115">
        <f t="shared" si="63"/>
        <v>-2.4294238865562257</v>
      </c>
      <c r="I98" s="115">
        <f t="shared" si="63"/>
        <v>-2.3646448220424165</v>
      </c>
      <c r="J98" s="115">
        <f t="shared" si="63"/>
        <v>-2.3157995167858103</v>
      </c>
      <c r="K98" s="115">
        <f t="shared" si="63"/>
        <v>-2.0896869993772382</v>
      </c>
      <c r="L98" s="115">
        <f t="shared" si="63"/>
        <v>-1.929763930724504</v>
      </c>
      <c r="M98" s="115">
        <f t="shared" si="63"/>
        <v>-1.7510396624155322</v>
      </c>
      <c r="N98" s="115">
        <f t="shared" si="63"/>
        <v>-1.4470140594912917</v>
      </c>
      <c r="O98" s="115">
        <f t="shared" si="63"/>
        <v>-1.3002903437939528</v>
      </c>
      <c r="P98" s="115">
        <f t="shared" si="63"/>
        <v>-1.0569987244535395</v>
      </c>
      <c r="Q98" s="115">
        <f t="shared" si="63"/>
        <v>-0.81850216165639811</v>
      </c>
      <c r="R98" s="115">
        <f t="shared" si="63"/>
        <v>-0.5841864539531838</v>
      </c>
      <c r="S98" s="115">
        <f t="shared" si="63"/>
        <v>-0.41427207216824247</v>
      </c>
      <c r="T98" s="115">
        <f t="shared" si="63"/>
        <v>-0.2063428950819568</v>
      </c>
      <c r="U98" s="115">
        <f>((1+U93/100)/((1+U23/100)*(1+U42/100))-1)*100</f>
        <v>7.4977024850486629E-3</v>
      </c>
      <c r="V98" s="115">
        <f t="shared" ref="V98:W98" si="64">((1+V93/100)/((1+V23/100)*(1+V42/100))-1)*100</f>
        <v>0.2352376966475056</v>
      </c>
      <c r="W98" s="115">
        <f t="shared" si="64"/>
        <v>0.42022340320595486</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74.36767578125</v>
      </c>
      <c r="D104" s="34">
        <v>72.4759521484375</v>
      </c>
      <c r="E104" s="34">
        <v>69.219566345214844</v>
      </c>
      <c r="F104" s="34">
        <v>68.073471069335938</v>
      </c>
      <c r="G104" s="34">
        <v>66.450393676757813</v>
      </c>
      <c r="H104" s="34">
        <v>65.072891235351563</v>
      </c>
      <c r="I104" s="34">
        <v>63.524909973144531</v>
      </c>
      <c r="J104" s="34">
        <v>61.733310699462891</v>
      </c>
      <c r="K104" s="34">
        <v>60.227519989013672</v>
      </c>
      <c r="L104" s="34">
        <v>58.948616027832031</v>
      </c>
      <c r="M104" s="34">
        <v>57.89141845703125</v>
      </c>
      <c r="N104" s="34">
        <v>57.173969268798828</v>
      </c>
      <c r="O104" s="34">
        <v>56.741119384765625</v>
      </c>
      <c r="P104" s="34">
        <v>56.5828857421875</v>
      </c>
      <c r="Q104" s="34">
        <v>56.741214752197266</v>
      </c>
      <c r="R104" s="34">
        <v>57.185169219970703</v>
      </c>
      <c r="S104" s="34">
        <v>57.855213165283203</v>
      </c>
      <c r="T104" s="34">
        <v>58.821346282958984</v>
      </c>
      <c r="U104" s="34">
        <v>60.114032745361328</v>
      </c>
      <c r="V104" s="34">
        <v>61.685462951660156</v>
      </c>
      <c r="W104" s="34">
        <v>63.515907287597656</v>
      </c>
      <c r="X104" s="34"/>
      <c r="Y104" s="34"/>
      <c r="Z104" s="34"/>
    </row>
    <row r="105" spans="1:54" s="5" customFormat="1" ht="12.75" x14ac:dyDescent="0.2">
      <c r="A105" s="26"/>
      <c r="B105" s="26" t="s">
        <v>132</v>
      </c>
      <c r="C105" s="1">
        <v>1.7379093170166016</v>
      </c>
      <c r="D105" s="1">
        <v>1.644842267036438</v>
      </c>
      <c r="E105" s="1">
        <v>1.899216890335083</v>
      </c>
      <c r="F105" s="1">
        <v>2.1593606472015381</v>
      </c>
      <c r="G105" s="1">
        <v>2.1774470806121826</v>
      </c>
      <c r="H105" s="1">
        <v>2.2733170986175537</v>
      </c>
      <c r="I105" s="1">
        <v>2.3607478141784668</v>
      </c>
      <c r="J105" s="1">
        <v>2.4431421756744385</v>
      </c>
      <c r="K105" s="1">
        <v>2.5683436393737793</v>
      </c>
      <c r="L105" s="1">
        <v>2.6821434497833252</v>
      </c>
      <c r="M105" s="1">
        <v>2.7953581809997559</v>
      </c>
      <c r="N105" s="1">
        <v>2.90753173828125</v>
      </c>
      <c r="O105" s="1">
        <v>3.0194466114044189</v>
      </c>
      <c r="P105" s="1">
        <v>3.1276111602783203</v>
      </c>
      <c r="Q105" s="1">
        <v>3.2301311492919922</v>
      </c>
      <c r="R105" s="1">
        <v>3.3276643753051758</v>
      </c>
      <c r="S105" s="1">
        <v>3.4195919036865234</v>
      </c>
      <c r="T105" s="1">
        <v>3.5055804252624512</v>
      </c>
      <c r="U105" s="1">
        <v>3.5862600803375244</v>
      </c>
      <c r="V105" s="1">
        <v>3.661853551864624</v>
      </c>
      <c r="W105" s="1">
        <v>3.7318074703216553</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74.36767578125</v>
      </c>
      <c r="D109" s="34">
        <v>72.4759521484375</v>
      </c>
      <c r="E109" s="34">
        <v>69.219566345214844</v>
      </c>
      <c r="F109" s="34">
        <v>68.073471069335938</v>
      </c>
      <c r="G109" s="34">
        <v>66.48193359375</v>
      </c>
      <c r="H109" s="34">
        <v>65.303741455078125</v>
      </c>
      <c r="I109" s="34">
        <v>64.125503540039063</v>
      </c>
      <c r="J109" s="34">
        <v>62.873928070068359</v>
      </c>
      <c r="K109" s="34">
        <v>61.488330841064453</v>
      </c>
      <c r="L109" s="34">
        <v>59.970359802246094</v>
      </c>
      <c r="M109" s="34">
        <v>58.323776245117188</v>
      </c>
      <c r="N109" s="34">
        <v>57.051349639892578</v>
      </c>
      <c r="O109" s="34">
        <v>56.006038665771484</v>
      </c>
      <c r="P109" s="34">
        <v>55.175518035888672</v>
      </c>
      <c r="Q109" s="34">
        <v>54.744396209716797</v>
      </c>
      <c r="R109" s="34">
        <v>54.599117279052734</v>
      </c>
      <c r="S109" s="34">
        <v>54.679519653320313</v>
      </c>
      <c r="T109" s="34">
        <v>55.052776336669922</v>
      </c>
      <c r="U109" s="34">
        <v>55.74700927734375</v>
      </c>
      <c r="V109" s="34">
        <v>56.711521148681641</v>
      </c>
      <c r="W109" s="34">
        <v>57.926162719726563</v>
      </c>
      <c r="X109" s="34"/>
      <c r="Y109" s="34"/>
      <c r="Z109" s="34"/>
    </row>
    <row r="110" spans="1:54" x14ac:dyDescent="0.2">
      <c r="B110" s="26" t="s">
        <v>132</v>
      </c>
      <c r="C110" s="1">
        <v>1.7379093170166016</v>
      </c>
      <c r="D110" s="1">
        <v>1.644842267036438</v>
      </c>
      <c r="E110" s="1">
        <v>1.899216890335083</v>
      </c>
      <c r="F110" s="1">
        <v>2.1593606472015381</v>
      </c>
      <c r="G110" s="1">
        <v>2.1774470806121826</v>
      </c>
      <c r="H110" s="1">
        <v>2.2751572132110596</v>
      </c>
      <c r="I110" s="1">
        <v>2.3663482666015625</v>
      </c>
      <c r="J110" s="1">
        <v>2.4544417858123779</v>
      </c>
      <c r="K110" s="1">
        <v>2.5387897491455078</v>
      </c>
      <c r="L110" s="1">
        <v>2.6191058158874512</v>
      </c>
      <c r="M110" s="1">
        <v>2.6953029632568359</v>
      </c>
      <c r="N110" s="1">
        <v>2.8178887367248535</v>
      </c>
      <c r="O110" s="1">
        <v>2.9279229640960693</v>
      </c>
      <c r="P110" s="1">
        <v>3.0340971946716309</v>
      </c>
      <c r="Q110" s="1">
        <v>3.1346166133880615</v>
      </c>
      <c r="R110" s="1">
        <v>3.2316584587097168</v>
      </c>
      <c r="S110" s="1">
        <v>3.3244524002075195</v>
      </c>
      <c r="T110" s="1">
        <v>3.4124648571014404</v>
      </c>
      <c r="U110" s="1">
        <v>3.4962704181671143</v>
      </c>
      <c r="V110" s="1">
        <v>3.575955867767334</v>
      </c>
      <c r="W110" s="1">
        <v>3.6506216526031494</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SI</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74.367679999999993</v>
      </c>
      <c r="D11" s="83">
        <f>'Adjust. no safeguard'!D57</f>
        <v>72.475954801911442</v>
      </c>
      <c r="E11" s="83">
        <f>'Adjust. no safeguard'!E57</f>
        <v>69.219569977397526</v>
      </c>
      <c r="F11" s="83">
        <f>'Adjust. no safeguard'!F57</f>
        <v>68.073476569055501</v>
      </c>
      <c r="G11" s="83">
        <f>'Adjust. no safeguard'!G57</f>
        <v>66.45039802251047</v>
      </c>
      <c r="H11" s="83">
        <f>'Adjust. no safeguard'!H57</f>
        <v>65.072880781600873</v>
      </c>
      <c r="I11" s="83">
        <f>'Adjust. no safeguard'!I57</f>
        <v>63.52490017138598</v>
      </c>
      <c r="J11" s="83">
        <f>'Adjust. no safeguard'!J57</f>
        <v>61.733292809090869</v>
      </c>
      <c r="K11" s="83">
        <f>'Adjust. no safeguard'!K57</f>
        <v>59.903668064975598</v>
      </c>
      <c r="L11" s="83">
        <f>'Adjust. no safeguard'!L57</f>
        <v>58.2956435110341</v>
      </c>
      <c r="M11" s="83">
        <f>'Adjust. no safeguard'!M57</f>
        <v>56.90347345900944</v>
      </c>
      <c r="N11" s="83">
        <f>'Adjust. no safeguard'!N57</f>
        <v>55.842955077676599</v>
      </c>
      <c r="O11" s="83">
        <f>'Adjust. no safeguard'!O57</f>
        <v>55.059105354062943</v>
      </c>
      <c r="P11" s="83">
        <f>'Adjust. no safeguard'!P57</f>
        <v>54.538128847675814</v>
      </c>
      <c r="Q11" s="83">
        <f>'Adjust. no safeguard'!Q57</f>
        <v>54.320083188778682</v>
      </c>
      <c r="R11" s="83">
        <f>'Adjust. no safeguard'!R57</f>
        <v>54.371490069909413</v>
      </c>
      <c r="S11" s="83">
        <f>'Adjust. no safeguard'!S57</f>
        <v>54.632404772901488</v>
      </c>
      <c r="T11" s="83">
        <f>'Adjust. no safeguard'!T57</f>
        <v>55.169423113924019</v>
      </c>
      <c r="U11" s="83">
        <f>'Adjust. no safeguard'!U57</f>
        <v>56.009655330882325</v>
      </c>
      <c r="V11" s="83">
        <f>'Adjust. no safeguard'!V57</f>
        <v>57.100938629571111</v>
      </c>
      <c r="W11" s="83">
        <f>'Adjust. no safeguard'!W57</f>
        <v>58.422156778108004</v>
      </c>
    </row>
    <row r="12" spans="1:50" s="26" customFormat="1" ht="11.25" x14ac:dyDescent="0.2">
      <c r="A12" s="29"/>
      <c r="C12" s="29"/>
      <c r="E12" s="43"/>
      <c r="F12" s="29"/>
    </row>
    <row r="13" spans="1:50" s="67" customFormat="1" ht="11.25" x14ac:dyDescent="0.2">
      <c r="B13" s="90" t="s">
        <v>152</v>
      </c>
    </row>
    <row r="14" spans="1:50" x14ac:dyDescent="0.2">
      <c r="B14" s="5" t="s">
        <v>153</v>
      </c>
      <c r="C14" s="83">
        <f>C$11</f>
        <v>74.367679999999993</v>
      </c>
      <c r="D14" s="83">
        <f t="shared" ref="D14:J18" si="0">D$11</f>
        <v>72.475954801911442</v>
      </c>
      <c r="E14" s="83">
        <f t="shared" si="0"/>
        <v>69.219569977397526</v>
      </c>
      <c r="F14" s="83">
        <f t="shared" si="0"/>
        <v>68.073476569055501</v>
      </c>
      <c r="G14" s="83">
        <f t="shared" si="0"/>
        <v>66.45039802251047</v>
      </c>
      <c r="H14" s="83">
        <f t="shared" si="0"/>
        <v>65.072880781600873</v>
      </c>
      <c r="I14" s="83">
        <f t="shared" si="0"/>
        <v>63.52490017138598</v>
      </c>
      <c r="J14" s="83">
        <f>J$11</f>
        <v>61.733292809090869</v>
      </c>
      <c r="K14" s="83">
        <f>IF('Criteria results'!$F$5=4,K$11+'Input data'!C74,K$11)</f>
        <v>53.39400543680177</v>
      </c>
      <c r="L14" s="83">
        <f>IF('Criteria results'!$F$5=4,L$11+'Input data'!D74,L$11)</f>
        <v>49.298203172899335</v>
      </c>
      <c r="M14" s="83">
        <f>IF('Criteria results'!$F$5=4,M$11+'Input data'!E74,M$11)</f>
        <v>46.053379617456706</v>
      </c>
      <c r="N14" s="83">
        <f>IF('Criteria results'!$F$5=4,N$11+'Input data'!F74,N$11+'Input data'!C74)</f>
        <v>43.432287658243006</v>
      </c>
      <c r="O14" s="83">
        <f>IF('Criteria results'!$F$5=4,O$11+'Input data'!G74,O$11+'Input data'!D74)</f>
        <v>41.359386878721146</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74.367679999999993</v>
      </c>
      <c r="D15" s="83">
        <f t="shared" si="0"/>
        <v>72.475954801911442</v>
      </c>
      <c r="E15" s="83">
        <f t="shared" si="0"/>
        <v>69.219569977397526</v>
      </c>
      <c r="F15" s="83">
        <f t="shared" si="0"/>
        <v>68.073476569055501</v>
      </c>
      <c r="G15" s="83">
        <f t="shared" si="0"/>
        <v>66.45039802251047</v>
      </c>
      <c r="H15" s="83">
        <f t="shared" si="0"/>
        <v>65.072880781600873</v>
      </c>
      <c r="I15" s="83">
        <f t="shared" si="0"/>
        <v>63.52490017138598</v>
      </c>
      <c r="J15" s="83">
        <f t="shared" si="0"/>
        <v>61.733292809090869</v>
      </c>
      <c r="K15" s="83">
        <f>IF('Criteria results'!$F$5=4,K$11+'Input data'!C75,K$11)</f>
        <v>57.25692047586427</v>
      </c>
      <c r="L15" s="83">
        <f>IF('Criteria results'!$F$5=4,L$11+'Input data'!D75,L$11)</f>
        <v>54.423828783250897</v>
      </c>
      <c r="M15" s="83">
        <f>IF('Criteria results'!$F$5=4,M$11+'Input data'!E75,M$11)</f>
        <v>52.443832956079753</v>
      </c>
      <c r="N15" s="83">
        <f>IF('Criteria results'!$F$5=4,N$11+'Input data'!F75,N$11+'Input data'!C75)</f>
        <v>50.693754638223474</v>
      </c>
      <c r="O15" s="83">
        <f>IF('Criteria results'!$F$5=4,O$11+'Input data'!G75,O$11+'Input data'!D75)</f>
        <v>49.37131162237349</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74.367679999999993</v>
      </c>
      <c r="D16" s="83">
        <f t="shared" si="0"/>
        <v>72.475954801911442</v>
      </c>
      <c r="E16" s="83">
        <f t="shared" si="0"/>
        <v>69.219569977397526</v>
      </c>
      <c r="F16" s="83">
        <f t="shared" si="0"/>
        <v>68.073476569055501</v>
      </c>
      <c r="G16" s="83">
        <f t="shared" si="0"/>
        <v>66.45039802251047</v>
      </c>
      <c r="H16" s="83">
        <f t="shared" si="0"/>
        <v>65.072880781600873</v>
      </c>
      <c r="I16" s="83">
        <f t="shared" si="0"/>
        <v>63.52490017138598</v>
      </c>
      <c r="J16" s="83">
        <f t="shared" si="0"/>
        <v>61.733292809090869</v>
      </c>
      <c r="K16" s="83">
        <f>K11</f>
        <v>59.903668064975598</v>
      </c>
      <c r="L16" s="83">
        <f t="shared" ref="L16:O16" si="2">L11</f>
        <v>58.2956435110341</v>
      </c>
      <c r="M16" s="83">
        <f t="shared" si="2"/>
        <v>56.90347345900944</v>
      </c>
      <c r="N16" s="83">
        <f t="shared" si="2"/>
        <v>55.842955077676599</v>
      </c>
      <c r="O16" s="83">
        <f t="shared" si="2"/>
        <v>55.059105354062943</v>
      </c>
      <c r="P16" s="83" t="str">
        <f>IF('Criteria results'!$F$5=4,"",Stochastic!P$11)</f>
        <v/>
      </c>
      <c r="Q16" s="83" t="str">
        <f>IF('Criteria results'!$F$5=4,"",Stochastic!Q$11)</f>
        <v/>
      </c>
      <c r="R16" s="83" t="str">
        <f>IF('Criteria results'!$F$5=4,"",Stochastic!R$11)</f>
        <v/>
      </c>
    </row>
    <row r="17" spans="2:18" x14ac:dyDescent="0.2">
      <c r="B17" s="5" t="s">
        <v>155</v>
      </c>
      <c r="C17" s="83">
        <f t="shared" si="1"/>
        <v>74.367679999999993</v>
      </c>
      <c r="D17" s="83">
        <f t="shared" si="0"/>
        <v>72.475954801911442</v>
      </c>
      <c r="E17" s="83">
        <f t="shared" si="0"/>
        <v>69.219569977397526</v>
      </c>
      <c r="F17" s="83">
        <f t="shared" si="0"/>
        <v>68.073476569055501</v>
      </c>
      <c r="G17" s="83">
        <f t="shared" si="0"/>
        <v>66.45039802251047</v>
      </c>
      <c r="H17" s="83">
        <f t="shared" si="0"/>
        <v>65.072880781600873</v>
      </c>
      <c r="I17" s="83">
        <f t="shared" si="0"/>
        <v>63.52490017138598</v>
      </c>
      <c r="J17" s="83">
        <f t="shared" si="0"/>
        <v>61.733292809090869</v>
      </c>
      <c r="K17" s="83">
        <f>IF('Criteria results'!$F$5=4,K$11+'Input data'!C76,K$11)</f>
        <v>62.586601872348645</v>
      </c>
      <c r="L17" s="83">
        <f>IF('Criteria results'!$F$5=4,L$11+'Input data'!D76,L$11)</f>
        <v>61.958359422899335</v>
      </c>
      <c r="M17" s="83">
        <f>IF('Criteria results'!$F$5=4,M$11+'Input data'!E76,M$11)</f>
        <v>61.365345559839518</v>
      </c>
      <c r="N17" s="83">
        <f>IF('Criteria results'!$F$5=4,N$11+'Input data'!F76,N$11+'Input data'!C76)</f>
        <v>61.110666717080896</v>
      </c>
      <c r="O17" s="83">
        <f>IF('Criteria results'!$F$5=4,O$11+'Input data'!G76,O$11+'Input data'!D76)</f>
        <v>61.051483588926224</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74.367679999999993</v>
      </c>
      <c r="D18" s="83">
        <f t="shared" si="0"/>
        <v>72.475954801911442</v>
      </c>
      <c r="E18" s="83">
        <f t="shared" si="0"/>
        <v>69.219569977397526</v>
      </c>
      <c r="F18" s="83">
        <f t="shared" si="0"/>
        <v>68.073476569055501</v>
      </c>
      <c r="G18" s="83">
        <f t="shared" si="0"/>
        <v>66.45039802251047</v>
      </c>
      <c r="H18" s="83">
        <f t="shared" si="0"/>
        <v>65.072880781600873</v>
      </c>
      <c r="I18" s="83">
        <f t="shared" si="0"/>
        <v>63.52490017138598</v>
      </c>
      <c r="J18" s="83">
        <f t="shared" si="0"/>
        <v>61.733292809090869</v>
      </c>
      <c r="K18" s="83">
        <f>IF('Criteria results'!$F$5=4,K$11+'Input data'!C77,K$11)</f>
        <v>66.548920292758794</v>
      </c>
      <c r="L18" s="83">
        <f>IF('Criteria results'!$F$5=4,L$11+'Input data'!D77,L$11)</f>
        <v>67.513405504442304</v>
      </c>
      <c r="M18" s="83">
        <f>IF('Criteria results'!$F$5=4,M$11+'Input data'!E77,M$11)</f>
        <v>68.129963479761386</v>
      </c>
      <c r="N18" s="83">
        <f>IF('Criteria results'!$F$5=4,N$11+'Input data'!F77,N$11+'Input data'!C77)</f>
        <v>68.882879699258638</v>
      </c>
      <c r="O18" s="83">
        <f>IF('Criteria results'!$F$5=4,O$11+'Input data'!G77,O$11+'Input data'!D77)</f>
        <v>69.605862098447716</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63.52490017138598</v>
      </c>
      <c r="D22" s="83">
        <f>IF('Criteria results'!$F$5=4,J$11,M$11)</f>
        <v>61.733292809090869</v>
      </c>
      <c r="E22" s="83">
        <f>IF('Criteria results'!$F$5=4,K$11+'Input data'!C74,N$11+'Input data'!C74)</f>
        <v>53.39400543680177</v>
      </c>
      <c r="F22" s="83">
        <f>IF('Criteria results'!$F$5=4,L$11+'Input data'!D74,O$11+'Input data'!D74)</f>
        <v>49.298203172899335</v>
      </c>
      <c r="G22" s="83">
        <f>IF('Criteria results'!$F$5=4,M$11+'Input data'!E74,P$11+'Input data'!E74)</f>
        <v>46.053379617456706</v>
      </c>
      <c r="H22" s="83">
        <f>IF('Criteria results'!$F$5=4,N$11+'Input data'!F74,Q$11+'Input data'!F74)</f>
        <v>43.432287658243006</v>
      </c>
      <c r="I22" s="83">
        <f>IF('Criteria results'!$F$5=4,O$11+'Input data'!G74,R$11+'Input data'!G74)</f>
        <v>41.359386878721146</v>
      </c>
      <c r="P22" s="83"/>
      <c r="Q22" s="83"/>
      <c r="R22" s="83"/>
    </row>
    <row r="23" spans="2:18" x14ac:dyDescent="0.2">
      <c r="B23" s="5" t="s">
        <v>158</v>
      </c>
      <c r="C23" s="83">
        <v>0</v>
      </c>
      <c r="D23" s="83">
        <v>0</v>
      </c>
      <c r="E23" s="83">
        <f>'Input data'!C75-'Input data'!C74</f>
        <v>3.8629150390625</v>
      </c>
      <c r="F23" s="83">
        <f>'Input data'!D75-'Input data'!D74</f>
        <v>5.1256256103515625</v>
      </c>
      <c r="G23" s="83">
        <f>'Input data'!E75-'Input data'!E74</f>
        <v>6.3904533386230469</v>
      </c>
      <c r="H23" s="83">
        <f>'Input data'!F75-'Input data'!F74</f>
        <v>7.2614669799804688</v>
      </c>
      <c r="I23" s="83">
        <f>'Input data'!G75-'Input data'!G74</f>
        <v>8.0119247436523438</v>
      </c>
      <c r="P23" s="83"/>
      <c r="Q23" s="83"/>
      <c r="R23" s="83"/>
    </row>
    <row r="24" spans="2:18" x14ac:dyDescent="0.2">
      <c r="B24" s="5" t="s">
        <v>159</v>
      </c>
      <c r="C24" s="83">
        <v>0</v>
      </c>
      <c r="D24" s="83">
        <v>0</v>
      </c>
      <c r="E24" s="83">
        <f>-'Input data'!C75</f>
        <v>2.6467475891113281</v>
      </c>
      <c r="F24" s="83">
        <f>-'Input data'!D75</f>
        <v>3.8718147277832031</v>
      </c>
      <c r="G24" s="83">
        <f>-'Input data'!E75</f>
        <v>4.4596405029296875</v>
      </c>
      <c r="H24" s="83">
        <f>-'Input data'!F75</f>
        <v>5.149200439453125</v>
      </c>
      <c r="I24" s="83">
        <f>-'Input data'!G75</f>
        <v>5.6877937316894531</v>
      </c>
      <c r="P24" s="83"/>
      <c r="Q24" s="83"/>
      <c r="R24" s="83"/>
    </row>
    <row r="25" spans="2:18" x14ac:dyDescent="0.2">
      <c r="B25" s="5" t="s">
        <v>160</v>
      </c>
      <c r="C25" s="83">
        <v>0</v>
      </c>
      <c r="D25" s="83">
        <v>0</v>
      </c>
      <c r="E25" s="83">
        <f>'Input data'!C76</f>
        <v>2.6829338073730469</v>
      </c>
      <c r="F25" s="83">
        <f>'Input data'!D76</f>
        <v>3.6627159118652344</v>
      </c>
      <c r="G25" s="83">
        <f>'Input data'!E76</f>
        <v>4.4618721008300781</v>
      </c>
      <c r="H25" s="83">
        <f>'Input data'!F76</f>
        <v>5.2677116394042969</v>
      </c>
      <c r="I25" s="83">
        <f>'Input data'!G76</f>
        <v>5.9923782348632813</v>
      </c>
      <c r="P25" s="83"/>
      <c r="Q25" s="83"/>
      <c r="R25" s="83"/>
    </row>
    <row r="26" spans="2:18" x14ac:dyDescent="0.2">
      <c r="B26" s="5" t="s">
        <v>161</v>
      </c>
      <c r="C26" s="83">
        <v>0</v>
      </c>
      <c r="D26" s="83">
        <v>0</v>
      </c>
      <c r="E26" s="83">
        <f>'Input data'!C77-'Input data'!C76</f>
        <v>3.9623184204101563</v>
      </c>
      <c r="F26" s="83">
        <f>'Input data'!D77-'Input data'!D76</f>
        <v>5.5550460815429688</v>
      </c>
      <c r="G26" s="83">
        <f>'Input data'!E77-'Input data'!E76</f>
        <v>6.764617919921875</v>
      </c>
      <c r="H26" s="83">
        <f>'Input data'!F77-'Input data'!F76</f>
        <v>7.7722129821777344</v>
      </c>
      <c r="I26" s="83">
        <f>'Input data'!G77-'Input data'!G76</f>
        <v>8.5543785095214844</v>
      </c>
      <c r="P26" s="83"/>
      <c r="Q26" s="83"/>
      <c r="R26" s="83"/>
    </row>
    <row r="27" spans="2:18" x14ac:dyDescent="0.2">
      <c r="B27" s="5" t="s">
        <v>153</v>
      </c>
      <c r="C27" s="83">
        <f>IF('Criteria results'!$F$5=4,I$11,L$11)</f>
        <v>63.52490017138598</v>
      </c>
      <c r="D27" s="83">
        <f>IF('Criteria results'!$F$5=4,J$11,M$11)</f>
        <v>61.733292809090869</v>
      </c>
      <c r="E27" s="83">
        <f>IF('Criteria results'!$F$5=4,K$11+'Input data'!C74,N$11+'Input data'!C74)</f>
        <v>53.39400543680177</v>
      </c>
      <c r="F27" s="83">
        <f>IF('Criteria results'!$F$5=4,L$11+'Input data'!D74,O$11+'Input data'!D74)</f>
        <v>49.298203172899335</v>
      </c>
      <c r="G27" s="83">
        <f>IF('Criteria results'!$F$5=4,M$11+'Input data'!E74,P$11+'Input data'!E74)</f>
        <v>46.053379617456706</v>
      </c>
      <c r="H27" s="83">
        <f>IF('Criteria results'!$F$5=4,N$11+'Input data'!F74,Q$11+'Input data'!F74)</f>
        <v>43.432287658243006</v>
      </c>
      <c r="I27" s="83">
        <f>IF('Criteria results'!$F$5=4,O$11+'Input data'!G74,R$11+'Input data'!G74)</f>
        <v>41.359386878721146</v>
      </c>
    </row>
    <row r="28" spans="2:18" x14ac:dyDescent="0.2">
      <c r="B28" s="5" t="s">
        <v>154</v>
      </c>
      <c r="C28" s="83">
        <f>IF('Criteria results'!$F$5=4,I$11,L$11)</f>
        <v>63.52490017138598</v>
      </c>
      <c r="D28" s="83">
        <f>IF('Criteria results'!$F$5=4,J$11,M$11)</f>
        <v>61.733292809090869</v>
      </c>
      <c r="E28" s="83">
        <f>IF('Criteria results'!$F$5=4,K$11+'Input data'!C75,N$11+'Input data'!C75)</f>
        <v>57.25692047586427</v>
      </c>
      <c r="F28" s="83">
        <f>IF('Criteria results'!$F$5=4,L$11+'Input data'!D75,O$11+'Input data'!D75)</f>
        <v>54.423828783250897</v>
      </c>
      <c r="G28" s="83">
        <f>IF('Criteria results'!$F$5=4,M$11+'Input data'!E75,P$11+'Input data'!E75)</f>
        <v>52.443832956079753</v>
      </c>
      <c r="H28" s="83">
        <f>IF('Criteria results'!$F$5=4,N$11+'Input data'!F75,Q$11+'Input data'!F75)</f>
        <v>50.693754638223474</v>
      </c>
      <c r="I28" s="83">
        <f>IF('Criteria results'!$F$5=4,O$11+'Input data'!G75,R$11+'Input data'!G75)</f>
        <v>49.37131162237349</v>
      </c>
      <c r="P28" s="83"/>
      <c r="Q28" s="83"/>
      <c r="R28" s="83"/>
    </row>
    <row r="29" spans="2:18" x14ac:dyDescent="0.2">
      <c r="B29" s="5" t="s">
        <v>162</v>
      </c>
      <c r="C29" s="83">
        <f>IF('Criteria results'!$F$5=4,I$11,L$11)</f>
        <v>63.52490017138598</v>
      </c>
      <c r="D29" s="83">
        <f>IF('Criteria results'!$F$5=4,J$11,M$11)</f>
        <v>61.733292809090869</v>
      </c>
      <c r="E29" s="83">
        <f>IF('Criteria results'!$F$5=4,K$11,N$11)</f>
        <v>59.903668064975598</v>
      </c>
      <c r="F29" s="83">
        <f>IF('Criteria results'!$F$5=4,L$11,O$11)</f>
        <v>58.2956435110341</v>
      </c>
      <c r="G29" s="83">
        <f>IF('Criteria results'!$F$5=4,M$11,P$11)</f>
        <v>56.90347345900944</v>
      </c>
      <c r="H29" s="83">
        <f>IF('Criteria results'!$F$5=4,N$11,Q$11)</f>
        <v>55.842955077676599</v>
      </c>
      <c r="I29" s="83">
        <f>IF('Criteria results'!$F$5=4,O$11,R$11)</f>
        <v>55.059105354062943</v>
      </c>
      <c r="P29" s="83"/>
      <c r="Q29" s="83"/>
      <c r="R29" s="83"/>
    </row>
    <row r="30" spans="2:18" x14ac:dyDescent="0.2">
      <c r="B30" s="5" t="s">
        <v>155</v>
      </c>
      <c r="C30" s="83">
        <f>IF('Criteria results'!$F$5=4,I$11,L$11)</f>
        <v>63.52490017138598</v>
      </c>
      <c r="D30" s="83">
        <f>IF('Criteria results'!$F$5=4,J$11,M$11)</f>
        <v>61.733292809090869</v>
      </c>
      <c r="E30" s="83">
        <f>IF('Criteria results'!$F$5=4,K$11+'Input data'!C76,N$11+'Input data'!C76)</f>
        <v>62.586601872348645</v>
      </c>
      <c r="F30" s="83">
        <f>IF('Criteria results'!$F$5=4,L$11+'Input data'!D76,O$11+'Input data'!D76)</f>
        <v>61.958359422899335</v>
      </c>
      <c r="G30" s="83">
        <f>IF('Criteria results'!$F$5=4,M$11+'Input data'!E76,P$11+'Input data'!E76)</f>
        <v>61.365345559839518</v>
      </c>
      <c r="H30" s="83">
        <f>IF('Criteria results'!$F$5=4,N$11+'Input data'!F76,Q$11+'Input data'!F76)</f>
        <v>61.110666717080896</v>
      </c>
      <c r="I30" s="83">
        <f>IF('Criteria results'!$F$5=4,O$11+'Input data'!G76,R$11+'Input data'!G76)</f>
        <v>61.051483588926224</v>
      </c>
      <c r="J30" s="83"/>
      <c r="K30" s="83"/>
      <c r="L30" s="83"/>
      <c r="M30" s="83"/>
      <c r="N30" s="83"/>
      <c r="O30" s="83"/>
    </row>
    <row r="31" spans="2:18" x14ac:dyDescent="0.2">
      <c r="B31" s="5" t="s">
        <v>156</v>
      </c>
      <c r="C31" s="83">
        <f>IF('Criteria results'!$F$5=4,I$11,L$11)</f>
        <v>63.52490017138598</v>
      </c>
      <c r="D31" s="83">
        <f>IF('Criteria results'!$F$5=4,J$11,M$11)</f>
        <v>61.733292809090869</v>
      </c>
      <c r="E31" s="83">
        <f>IF('Criteria results'!$F$5=4,K$11+'Input data'!C77,N$11+'Input data'!C77)</f>
        <v>66.548920292758794</v>
      </c>
      <c r="F31" s="83">
        <f>IF('Criteria results'!$F$5=4,L$11+'Input data'!D77,O$11+'Input data'!D77)</f>
        <v>67.513405504442304</v>
      </c>
      <c r="G31" s="83">
        <f>IF('Criteria results'!$F$5=4,M$11+'Input data'!E77,P$11+'Input data'!E77)</f>
        <v>68.129963479761386</v>
      </c>
      <c r="H31" s="83">
        <f>IF('Criteria results'!$F$5=4,N$11+'Input data'!F77,Q$11+'Input data'!F77)</f>
        <v>68.882879699258638</v>
      </c>
      <c r="I31" s="83">
        <f>IF('Criteria results'!$F$5=4,O$11+'Input data'!G77,R$11+'Input data'!G77)</f>
        <v>69.605862098447716</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69.219569977397526</v>
      </c>
      <c r="G5" s="332">
        <f ca="1">INDEX(OFFSET('Adjustment scenario'!$D$1:$W$1,$D5-1,0),MATCH(G$4,'Adjustment scenario'!$D$10:$W$10,0))</f>
        <v>68.073476569055501</v>
      </c>
      <c r="H5" s="332">
        <f ca="1">INDEX(OFFSET('Adjustment scenario'!$D$1:$W$1,$D5-1,0),MATCH(H$4,'Adjustment scenario'!$D$10:$W$10,0))</f>
        <v>66.45039802251047</v>
      </c>
      <c r="I5" s="332">
        <f ca="1">INDEX(OFFSET('Adjustment scenario'!$D$1:$W$1,$D5-1,0),MATCH(I$4,'Adjustment scenario'!$D$10:$W$10,0))</f>
        <v>65.072880781600873</v>
      </c>
      <c r="J5" s="332">
        <f ca="1">INDEX(OFFSET('Adjustment scenario'!$D$1:$W$1,$D5-1,0),MATCH(J$4,'Adjustment scenario'!$D$10:$W$10,0))</f>
        <v>63.52490017138598</v>
      </c>
      <c r="K5" s="332">
        <f ca="1">INDEX(OFFSET('Adjustment scenario'!$D$1:$W$1,$D5-1,0),MATCH(K$4,'Adjustment scenario'!$D$10:$W$10,0))</f>
        <v>61.733292809090869</v>
      </c>
      <c r="L5" s="332">
        <f ca="1">INDEX(OFFSET('Adjustment scenario'!$D$1:$W$1,$D5-1,0),MATCH(L$4,'Adjustment scenario'!$D$10:$W$10,0))</f>
        <v>59.903668064975598</v>
      </c>
      <c r="M5" s="332">
        <f ca="1">INDEX(OFFSET('Adjustment scenario'!$D$1:$W$1,$D5-1,0),MATCH(M$4,'Adjustment scenario'!$D$10:$W$10,0))</f>
        <v>58.2956435110341</v>
      </c>
      <c r="N5" s="332">
        <f ca="1">INDEX(OFFSET('Adjustment scenario'!$D$1:$W$1,$D5-1,0),MATCH(N$4,'Adjustment scenario'!$D$10:$W$10,0))</f>
        <v>56.90347345900944</v>
      </c>
      <c r="O5" s="332">
        <f ca="1">INDEX(OFFSET('Adjustment scenario'!$D$1:$W$1,$D5-1,0),MATCH(O$4,'Adjustment scenario'!$D$10:$W$10,0))</f>
        <v>55.842955077676599</v>
      </c>
      <c r="P5" s="332">
        <f ca="1">INDEX(OFFSET('Adjustment scenario'!$D$1:$W$1,$D5-1,0),MATCH(P$4,'Adjustment scenario'!$D$10:$W$10,0))</f>
        <v>55.059105354062943</v>
      </c>
      <c r="Q5" s="332">
        <f ca="1">INDEX(OFFSET('Adjustment scenario'!$D$1:$W$1,$D5-1,0),MATCH(Q$4,'Adjustment scenario'!$D$10:$W$10,0))</f>
        <v>54.538128847675814</v>
      </c>
      <c r="R5" s="332">
        <f ca="1">INDEX(OFFSET('Adjustment scenario'!$D$1:$W$1,$D5-1,0),MATCH(R$4,'Adjustment scenario'!$D$10:$W$10,0))</f>
        <v>54.320083188778682</v>
      </c>
      <c r="S5" s="332">
        <f ca="1">INDEX(OFFSET('Adjustment scenario'!$D$1:$W$1,$D5-1,0),MATCH(S$4,'Adjustment scenario'!$D$10:$W$10,0))</f>
        <v>54.371490069909413</v>
      </c>
      <c r="T5" s="332">
        <f ca="1">INDEX(OFFSET('Adjustment scenario'!$D$1:$W$1,$D5-1,0),MATCH(T$4,'Adjustment scenario'!$D$10:$W$10,0))</f>
        <v>54.632404772901488</v>
      </c>
      <c r="U5" s="332">
        <f ca="1">INDEX(OFFSET('Adjustment scenario'!$D$1:$W$1,$D5-1,0),MATCH(U$4,'Adjustment scenario'!$D$10:$W$10,0))</f>
        <v>55.169423113924019</v>
      </c>
      <c r="V5" s="332">
        <f ca="1">INDEX(OFFSET('Adjustment scenario'!$D$1:$W$1,$D5-1,0),MATCH(V$4,'Adjustment scenario'!$D$10:$W$10,0))</f>
        <v>56.009655330882325</v>
      </c>
      <c r="W5" s="332">
        <f ca="1">INDEX(OFFSET('Adjustment scenario'!$D$1:$W$1,$D5-1,0),MATCH(W$4,'Adjustment scenario'!$D$10:$W$10,0))</f>
        <v>57.100938629571111</v>
      </c>
      <c r="X5" s="332">
        <f ca="1">INDEX(OFFSET('Adjustment scenario'!$D$1:$W$1,$D5-1,0),MATCH(X$4,'Adjustment scenario'!$D$10:$W$10,0))</f>
        <v>58.422156778108004</v>
      </c>
      <c r="Y5" s="271"/>
    </row>
    <row r="6" spans="1:25" x14ac:dyDescent="0.2">
      <c r="A6" s="271"/>
      <c r="B6" s="339">
        <v>2</v>
      </c>
      <c r="C6" s="343" t="s">
        <v>222</v>
      </c>
      <c r="D6" s="344">
        <v>77</v>
      </c>
      <c r="E6" s="345" t="s">
        <v>221</v>
      </c>
      <c r="F6" s="332">
        <f ca="1">INDEX(OFFSET('Adjustment scenario'!$D$1:$W$1,$D6-1,0),MATCH(F$4,'Adjustment scenario'!$D$10:$W$10,0))</f>
        <v>-2.4592010955300201</v>
      </c>
      <c r="G6" s="332">
        <f ca="1">INDEX(OFFSET('Adjustment scenario'!$D$1:$W$1,$D6-1,0),MATCH(G$4,'Adjustment scenario'!$D$10:$W$10,0))</f>
        <v>-2.8026950252980232</v>
      </c>
      <c r="H6" s="332">
        <f ca="1">INDEX(OFFSET('Adjustment scenario'!$D$1:$W$1,$D6-1,0),MATCH(H$4,'Adjustment scenario'!$D$10:$W$10,0))</f>
        <v>-2.2635120586866133</v>
      </c>
      <c r="I6" s="332">
        <f ca="1">INDEX(OFFSET('Adjustment scenario'!$D$1:$W$1,$D6-1,0),MATCH(I$4,'Adjustment scenario'!$D$10:$W$10,0))</f>
        <v>-1.6780109444387774</v>
      </c>
      <c r="J6" s="332">
        <f ca="1">INDEX(OFFSET('Adjustment scenario'!$D$1:$W$1,$D6-1,0),MATCH(J$4,'Adjustment scenario'!$D$10:$W$10,0))</f>
        <v>-1.456050741573006</v>
      </c>
      <c r="K6" s="332">
        <f ca="1">INDEX(OFFSET('Adjustment scenario'!$D$1:$W$1,$D6-1,0),MATCH(K$4,'Adjustment scenario'!$D$10:$W$10,0))</f>
        <v>-1.1594077481159688</v>
      </c>
      <c r="L6" s="332">
        <f ca="1">INDEX(OFFSET('Adjustment scenario'!$D$1:$W$1,$D6-1,0),MATCH(L$4,'Adjustment scenario'!$D$10:$W$10,0))</f>
        <v>-1.2619322357082103</v>
      </c>
      <c r="M6" s="332">
        <f ca="1">INDEX(OFFSET('Adjustment scenario'!$D$1:$W$1,$D6-1,0),MATCH(M$4,'Adjustment scenario'!$D$10:$W$10,0))</f>
        <v>-1.3621356032026557</v>
      </c>
      <c r="N6" s="332">
        <f ca="1">INDEX(OFFSET('Adjustment scenario'!$D$1:$W$1,$D6-1,0),MATCH(N$4,'Adjustment scenario'!$D$10:$W$10,0))</f>
        <v>-1.4584805298501315</v>
      </c>
      <c r="O6" s="332">
        <f ca="1">INDEX(OFFSET('Adjustment scenario'!$D$1:$W$1,$D6-1,0),MATCH(O$4,'Adjustment scenario'!$D$10:$W$10,0))</f>
        <v>-1.6137870506443828</v>
      </c>
      <c r="P6" s="332">
        <f ca="1">INDEX(OFFSET('Adjustment scenario'!$D$1:$W$1,$D6-1,0),MATCH(P$4,'Adjustment scenario'!$D$10:$W$10,0))</f>
        <v>-1.8192573991448324</v>
      </c>
      <c r="Q6" s="332">
        <f ca="1">INDEX(OFFSET('Adjustment scenario'!$D$1:$W$1,$D6-1,0),MATCH(Q$4,'Adjustment scenario'!$D$10:$W$10,0))</f>
        <v>-1.9716856260073838</v>
      </c>
      <c r="R6" s="332">
        <f ca="1">INDEX(OFFSET('Adjustment scenario'!$D$1:$W$1,$D6-1,0),MATCH(R$4,'Adjustment scenario'!$D$10:$W$10,0))</f>
        <v>-2.1776493632534897</v>
      </c>
      <c r="S6" s="332">
        <f ca="1">INDEX(OFFSET('Adjustment scenario'!$D$1:$W$1,$D6-1,0),MATCH(S$4,'Adjustment scenario'!$D$10:$W$10,0))</f>
        <v>-2.3642600367677624</v>
      </c>
      <c r="T6" s="332">
        <f ca="1">INDEX(OFFSET('Adjustment scenario'!$D$1:$W$1,$D6-1,0),MATCH(T$4,'Adjustment scenario'!$D$10:$W$10,0))</f>
        <v>-2.5334772715512544</v>
      </c>
      <c r="U6" s="332">
        <f ca="1">INDEX(OFFSET('Adjustment scenario'!$D$1:$W$1,$D6-1,0),MATCH(U$4,'Adjustment scenario'!$D$10:$W$10,0))</f>
        <v>-2.7550190006973718</v>
      </c>
      <c r="V6" s="332">
        <f ca="1">INDEX(OFFSET('Adjustment scenario'!$D$1:$W$1,$D6-1,0),MATCH(V$4,'Adjustment scenario'!$D$10:$W$10,0))</f>
        <v>-3.0082141906645603</v>
      </c>
      <c r="W6" s="332">
        <f ca="1">INDEX(OFFSET('Adjustment scenario'!$D$1:$W$1,$D6-1,0),MATCH(W$4,'Adjustment scenario'!$D$10:$W$10,0))</f>
        <v>-3.209415885837867</v>
      </c>
      <c r="X6" s="332">
        <f ca="1">INDEX(OFFSET('Adjustment scenario'!$D$1:$W$1,$D6-1,0),MATCH(X$4,'Adjustment scenario'!$D$10:$W$10,0))</f>
        <v>-3.4165879904828849</v>
      </c>
      <c r="Y6" s="271"/>
    </row>
    <row r="7" spans="1:25" x14ac:dyDescent="0.2">
      <c r="A7" s="271"/>
      <c r="B7" s="339">
        <v>3</v>
      </c>
      <c r="C7" s="343" t="s">
        <v>40</v>
      </c>
      <c r="D7" s="344">
        <v>12</v>
      </c>
      <c r="E7" s="345" t="s">
        <v>223</v>
      </c>
      <c r="F7" s="332">
        <f ca="1">INDEX(OFFSET('Adjustment scenario'!$D$1:$W$1,$D7-1,0),MATCH(F$4,'Adjustment scenario'!$D$10:$W$10,0))</f>
        <v>-1.555059</v>
      </c>
      <c r="G7" s="332">
        <f ca="1">INDEX(OFFSET('Adjustment scenario'!$D$1:$W$1,$D7-1,0),MATCH(G$4,'Adjustment scenario'!$D$10:$W$10,0))</f>
        <v>-1.244675</v>
      </c>
      <c r="H7" s="332">
        <f ca="1">INDEX(OFFSET('Adjustment scenario'!$D$1:$W$1,$D7-1,0),MATCH(H$4,'Adjustment scenario'!$D$10:$W$10,0))</f>
        <v>-0.80467500000000003</v>
      </c>
      <c r="I7" s="332">
        <f ca="1">INDEX(OFFSET('Adjustment scenario'!$D$1:$W$1,$D7-1,0),MATCH(I$4,'Adjustment scenario'!$D$10:$W$10,0))</f>
        <v>-0.36467500000000003</v>
      </c>
      <c r="J7" s="332">
        <f ca="1">INDEX(OFFSET('Adjustment scenario'!$D$1:$W$1,$D7-1,0),MATCH(J$4,'Adjustment scenario'!$D$10:$W$10,0))</f>
        <v>7.5324999999999975E-2</v>
      </c>
      <c r="K7" s="332">
        <f ca="1">INDEX(OFFSET('Adjustment scenario'!$D$1:$W$1,$D7-1,0),MATCH(K$4,'Adjustment scenario'!$D$10:$W$10,0))</f>
        <v>0.51532500000000003</v>
      </c>
      <c r="L7" s="332">
        <f ca="1">INDEX(OFFSET('Adjustment scenario'!$D$1:$W$1,$D7-1,0),MATCH(L$4,'Adjustment scenario'!$D$10:$W$10,0))</f>
        <v>0.51532500000000003</v>
      </c>
      <c r="M7" s="332">
        <f ca="1">INDEX(OFFSET('Adjustment scenario'!$D$1:$W$1,$D7-1,0),MATCH(M$4,'Adjustment scenario'!$D$10:$W$10,0))</f>
        <v>0.51532500000000003</v>
      </c>
      <c r="N7" s="332">
        <f ca="1">INDEX(OFFSET('Adjustment scenario'!$D$1:$W$1,$D7-1,0),MATCH(N$4,'Adjustment scenario'!$D$10:$W$10,0))</f>
        <v>0.51532500000000003</v>
      </c>
      <c r="O7" s="332">
        <f ca="1">INDEX(OFFSET('Adjustment scenario'!$D$1:$W$1,$D7-1,0),MATCH(O$4,'Adjustment scenario'!$D$10:$W$10,0))</f>
        <v>0.51532500000000003</v>
      </c>
      <c r="P7" s="332">
        <f ca="1">INDEX(OFFSET('Adjustment scenario'!$D$1:$W$1,$D7-1,0),MATCH(P$4,'Adjustment scenario'!$D$10:$W$10,0))</f>
        <v>0.51532500000000003</v>
      </c>
      <c r="Q7" s="332">
        <f ca="1">INDEX(OFFSET('Adjustment scenario'!$D$1:$W$1,$D7-1,0),MATCH(Q$4,'Adjustment scenario'!$D$10:$W$10,0))</f>
        <v>0.51532500000000003</v>
      </c>
      <c r="R7" s="332">
        <f ca="1">INDEX(OFFSET('Adjustment scenario'!$D$1:$W$1,$D7-1,0),MATCH(R$4,'Adjustment scenario'!$D$10:$W$10,0))</f>
        <v>0.51532500000000003</v>
      </c>
      <c r="S7" s="332">
        <f ca="1">INDEX(OFFSET('Adjustment scenario'!$D$1:$W$1,$D7-1,0),MATCH(S$4,'Adjustment scenario'!$D$10:$W$10,0))</f>
        <v>0.51532500000000003</v>
      </c>
      <c r="T7" s="332">
        <f ca="1">INDEX(OFFSET('Adjustment scenario'!$D$1:$W$1,$D7-1,0),MATCH(T$4,'Adjustment scenario'!$D$10:$W$10,0))</f>
        <v>0.51532500000000003</v>
      </c>
      <c r="U7" s="332">
        <f ca="1">INDEX(OFFSET('Adjustment scenario'!$D$1:$W$1,$D7-1,0),MATCH(U$4,'Adjustment scenario'!$D$10:$W$10,0))</f>
        <v>0.51532500000000003</v>
      </c>
      <c r="V7" s="332">
        <f ca="1">INDEX(OFFSET('Adjustment scenario'!$D$1:$W$1,$D7-1,0),MATCH(V$4,'Adjustment scenario'!$D$10:$W$10,0))</f>
        <v>0.51532500000000003</v>
      </c>
      <c r="W7" s="332">
        <f ca="1">INDEX(OFFSET('Adjustment scenario'!$D$1:$W$1,$D7-1,0),MATCH(W$4,'Adjustment scenario'!$D$10:$W$10,0))</f>
        <v>0.51532500000000003</v>
      </c>
      <c r="X7" s="332">
        <f ca="1">INDEX(OFFSET('Adjustment scenario'!$D$1:$W$1,$D7-1,0),MATCH(X$4,'Adjustment scenario'!$D$10:$W$10,0))</f>
        <v>0.51532500000000003</v>
      </c>
      <c r="Y7" s="271"/>
    </row>
    <row r="8" spans="1:25" x14ac:dyDescent="0.2">
      <c r="A8" s="271"/>
      <c r="B8" s="339">
        <v>4</v>
      </c>
      <c r="C8" s="343" t="s">
        <v>224</v>
      </c>
      <c r="D8" s="344">
        <v>62</v>
      </c>
      <c r="E8" s="345" t="s">
        <v>223</v>
      </c>
      <c r="F8" s="332">
        <f ca="1">INDEX(OFFSET('Adjustment scenario'!$D$1:$W$1,$D8-1,0),MATCH(F$4,'Adjustment scenario'!$D$10:$W$10,0))</f>
        <v>-0.74606702451390927</v>
      </c>
      <c r="G8" s="332">
        <f ca="1">INDEX(OFFSET('Adjustment scenario'!$D$1:$W$1,$D8-1,0),MATCH(G$4,'Adjustment scenario'!$D$10:$W$10,0))</f>
        <v>-0.50788490834203148</v>
      </c>
      <c r="H8" s="332">
        <f ca="1">INDEX(OFFSET('Adjustment scenario'!$D$1:$W$1,$D8-1,0),MATCH(H$4,'Adjustment scenario'!$D$10:$W$10,0))</f>
        <v>-0.41980548443519122</v>
      </c>
      <c r="I8" s="332">
        <f ca="1">INDEX(OFFSET('Adjustment scenario'!$D$1:$W$1,$D8-1,0),MATCH(I$4,'Adjustment scenario'!$D$10:$W$10,0))</f>
        <v>-0.12783039863904549</v>
      </c>
      <c r="J8" s="332">
        <f ca="1">INDEX(OFFSET('Adjustment scenario'!$D$1:$W$1,$D8-1,0),MATCH(J$4,'Adjustment scenario'!$D$10:$W$10,0))</f>
        <v>6.6086895741077401E-2</v>
      </c>
      <c r="K8" s="332">
        <f ca="1">INDEX(OFFSET('Adjustment scenario'!$D$1:$W$1,$D8-1,0),MATCH(K$4,'Adjustment scenario'!$D$10:$W$10,0))</f>
        <v>0.19482696891251239</v>
      </c>
      <c r="L8" s="332">
        <f ca="1">INDEX(OFFSET('Adjustment scenario'!$D$1:$W$1,$D8-1,0),MATCH(L$4,'Adjustment scenario'!$D$10:$W$10,0))</f>
        <v>0.12988464594168012</v>
      </c>
      <c r="M8" s="332">
        <f ca="1">INDEX(OFFSET('Adjustment scenario'!$D$1:$W$1,$D8-1,0),MATCH(M$4,'Adjustment scenario'!$D$10:$W$10,0))</f>
        <v>6.4942322970842667E-2</v>
      </c>
      <c r="N8" s="332">
        <f ca="1">INDEX(OFFSET('Adjustment scenario'!$D$1:$W$1,$D8-1,0),MATCH(N$4,'Adjustment scenario'!$D$10:$W$10,0))</f>
        <v>0</v>
      </c>
      <c r="O8" s="332">
        <f ca="1">INDEX(OFFSET('Adjustment scenario'!$D$1:$W$1,$D8-1,0),MATCH(O$4,'Adjustment scenario'!$D$10:$W$10,0))</f>
        <v>-1.3728230688236922E-6</v>
      </c>
      <c r="P8" s="332">
        <f ca="1">INDEX(OFFSET('Adjustment scenario'!$D$1:$W$1,$D8-1,0),MATCH(P$4,'Adjustment scenario'!$D$10:$W$10,0))</f>
        <v>-1.3728230688236922E-6</v>
      </c>
      <c r="Q8" s="332">
        <f ca="1">INDEX(OFFSET('Adjustment scenario'!$D$1:$W$1,$D8-1,0),MATCH(Q$4,'Adjustment scenario'!$D$10:$W$10,0))</f>
        <v>-1.3728230688236922E-6</v>
      </c>
      <c r="R8" s="332">
        <f ca="1">INDEX(OFFSET('Adjustment scenario'!$D$1:$W$1,$D8-1,0),MATCH(R$4,'Adjustment scenario'!$D$10:$W$10,0))</f>
        <v>-9.1421719874418281E-7</v>
      </c>
      <c r="S8" s="332">
        <f ca="1">INDEX(OFFSET('Adjustment scenario'!$D$1:$W$1,$D8-1,0),MATCH(S$4,'Adjustment scenario'!$D$10:$W$10,0))</f>
        <v>9.2230115744662566E-7</v>
      </c>
      <c r="T8" s="332">
        <f ca="1">INDEX(OFFSET('Adjustment scenario'!$D$1:$W$1,$D8-1,0),MATCH(T$4,'Adjustment scenario'!$D$10:$W$10,0))</f>
        <v>9.2230115744662566E-7</v>
      </c>
      <c r="U8" s="332">
        <f ca="1">INDEX(OFFSET('Adjustment scenario'!$D$1:$W$1,$D8-1,0),MATCH(U$4,'Adjustment scenario'!$D$10:$W$10,0))</f>
        <v>1.8419650500867137E-6</v>
      </c>
      <c r="V8" s="332">
        <f ca="1">INDEX(OFFSET('Adjustment scenario'!$D$1:$W$1,$D8-1,0),MATCH(V$4,'Adjustment scenario'!$D$10:$W$10,0))</f>
        <v>2.7626295323379683E-6</v>
      </c>
      <c r="W8" s="332">
        <f ca="1">INDEX(OFFSET('Adjustment scenario'!$D$1:$W$1,$D8-1,0),MATCH(W$4,'Adjustment scenario'!$D$10:$W$10,0))</f>
        <v>4.5804268737903443E-7</v>
      </c>
      <c r="X8" s="332">
        <f ca="1">INDEX(OFFSET('Adjustment scenario'!$D$1:$W$1,$D8-1,0),MATCH(X$4,'Adjustment scenario'!$D$10:$W$10,0))</f>
        <v>2.7646954361859601E-6</v>
      </c>
      <c r="Y8" s="271"/>
    </row>
    <row r="9" spans="1:25" x14ac:dyDescent="0.2">
      <c r="A9" s="271"/>
      <c r="B9" s="339">
        <v>5</v>
      </c>
      <c r="C9" s="343" t="s">
        <v>225</v>
      </c>
      <c r="D9" s="344">
        <v>14</v>
      </c>
      <c r="E9" s="345" t="s">
        <v>221</v>
      </c>
      <c r="F9" s="332">
        <f ca="1">INDEX(OFFSET('Adjustment scenario'!$D$1:$W$1,$D9-1,0),MATCH(F$4,'Adjustment scenario'!$D$10:$W$10,0))</f>
        <v>-0.40577220000000003</v>
      </c>
      <c r="G9" s="332">
        <f ca="1">INDEX(OFFSET('Adjustment scenario'!$D$1:$W$1,$D9-1,0),MATCH(G$4,'Adjustment scenario'!$D$10:$W$10,0))</f>
        <v>-0.65215420000000002</v>
      </c>
      <c r="H9" s="332">
        <f ca="1">INDEX(OFFSET('Adjustment scenario'!$D$1:$W$1,$D9-1,0),MATCH(H$4,'Adjustment scenario'!$D$10:$W$10,0))</f>
        <v>-0.47665220000000003</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1.2444369200439294</v>
      </c>
      <c r="G10" s="332">
        <f ca="1">INDEX(OFFSET('Adjustment scenario'!$D$1:$W$1,$D10-1,0),MATCH(G$4,'Adjustment scenario'!$D$10:$W$10,0))</f>
        <v>1.4137507336400548</v>
      </c>
      <c r="H10" s="332">
        <f ca="1">INDEX(OFFSET('Adjustment scenario'!$D$1:$W$1,$D10-1,0),MATCH(H$4,'Adjustment scenario'!$D$10:$W$10,0))</f>
        <v>1.4019903431218044</v>
      </c>
      <c r="I10" s="332">
        <f ca="1">INDEX(OFFSET('Adjustment scenario'!$D$1:$W$1,$D10-1,0),MATCH(I$4,'Adjustment scenario'!$D$10:$W$10,0))</f>
        <v>1.441166343077823</v>
      </c>
      <c r="J10" s="332">
        <f ca="1">INDEX(OFFSET('Adjustment scenario'!$D$1:$W$1,$D10-1,0),MATCH(J$4,'Adjustment scenario'!$D$10:$W$10,0))</f>
        <v>1.4652888458319284</v>
      </c>
      <c r="K10" s="332">
        <f ca="1">INDEX(OFFSET('Adjustment scenario'!$D$1:$W$1,$D10-1,0),MATCH(K$4,'Adjustment scenario'!$D$10:$W$10,0))</f>
        <v>1.4799057792034565</v>
      </c>
      <c r="L10" s="332">
        <f ca="1">INDEX(OFFSET('Adjustment scenario'!$D$1:$W$1,$D10-1,0),MATCH(L$4,'Adjustment scenario'!$D$10:$W$10,0))</f>
        <v>1.4776700897665271</v>
      </c>
      <c r="M10" s="332">
        <f ca="1">INDEX(OFFSET('Adjustment scenario'!$D$1:$W$1,$D10-1,0),MATCH(M$4,'Adjustment scenario'!$D$10:$W$10,0))</f>
        <v>1.4787731802318129</v>
      </c>
      <c r="N10" s="332">
        <f ca="1">INDEX(OFFSET('Adjustment scenario'!$D$1:$W$1,$D10-1,0),MATCH(N$4,'Adjustment scenario'!$D$10:$W$10,0))</f>
        <v>1.4834579298501298</v>
      </c>
      <c r="O10" s="332">
        <f ca="1">INDEX(OFFSET('Adjustment scenario'!$D$1:$W$1,$D10-1,0),MATCH(O$4,'Adjustment scenario'!$D$10:$W$10,0))</f>
        <v>1.493533323467451</v>
      </c>
      <c r="P10" s="332">
        <f ca="1">INDEX(OFFSET('Adjustment scenario'!$D$1:$W$1,$D10-1,0),MATCH(P$4,'Adjustment scenario'!$D$10:$W$10,0))</f>
        <v>1.508661071967901</v>
      </c>
      <c r="Q10" s="332">
        <f ca="1">INDEX(OFFSET('Adjustment scenario'!$D$1:$W$1,$D10-1,0),MATCH(Q$4,'Adjustment scenario'!$D$10:$W$10,0))</f>
        <v>1.5301467988304491</v>
      </c>
      <c r="R10" s="332">
        <f ca="1">INDEX(OFFSET('Adjustment scenario'!$D$1:$W$1,$D10-1,0),MATCH(R$4,'Adjustment scenario'!$D$10:$W$10,0))</f>
        <v>1.5561675774706893</v>
      </c>
      <c r="S10" s="332">
        <f ca="1">INDEX(OFFSET('Adjustment scenario'!$D$1:$W$1,$D10-1,0),MATCH(S$4,'Adjustment scenario'!$D$10:$W$10,0))</f>
        <v>1.5888038144666043</v>
      </c>
      <c r="T10" s="332">
        <f ca="1">INDEX(OFFSET('Adjustment scenario'!$D$1:$W$1,$D10-1,0),MATCH(T$4,'Adjustment scenario'!$D$10:$W$10,0))</f>
        <v>1.6265085492500968</v>
      </c>
      <c r="U10" s="332">
        <f ca="1">INDEX(OFFSET('Adjustment scenario'!$D$1:$W$1,$D10-1,0),MATCH(U$4,'Adjustment scenario'!$D$10:$W$10,0))</f>
        <v>1.6694867587323203</v>
      </c>
      <c r="V10" s="332">
        <f ca="1">INDEX(OFFSET('Adjustment scenario'!$D$1:$W$1,$D10-1,0),MATCH(V$4,'Adjustment scenario'!$D$10:$W$10,0))</f>
        <v>1.7199285280350272</v>
      </c>
      <c r="W10" s="332">
        <f ca="1">INDEX(OFFSET('Adjustment scenario'!$D$1:$W$1,$D10-1,0),MATCH(W$4,'Adjustment scenario'!$D$10:$W$10,0))</f>
        <v>1.7793800277951803</v>
      </c>
      <c r="X10" s="332">
        <f ca="1">INDEX(OFFSET('Adjustment scenario'!$D$1:$W$1,$D10-1,0),MATCH(X$4,'Adjustment scenario'!$D$10:$W$10,0))</f>
        <v>1.8453372257874474</v>
      </c>
      <c r="Y10" s="271"/>
    </row>
    <row r="11" spans="1:25" x14ac:dyDescent="0.2">
      <c r="A11" s="271"/>
      <c r="B11" s="339">
        <v>7</v>
      </c>
      <c r="C11" s="346" t="s">
        <v>94</v>
      </c>
      <c r="D11" s="344">
        <v>37</v>
      </c>
      <c r="E11" s="345" t="s">
        <v>227</v>
      </c>
      <c r="F11" s="332">
        <f ca="1">INDEX(OFFSET('Adjustment scenario'!$D$1:$W$1,$D11-1,0),MATCH(F$4,'Adjustment scenario'!$D$10:$W$10,0))</f>
        <v>3.4</v>
      </c>
      <c r="G11" s="332">
        <f ca="1">INDEX(OFFSET('Adjustment scenario'!$D$1:$W$1,$D11-1,0),MATCH(G$4,'Adjustment scenario'!$D$10:$W$10,0))</f>
        <v>3.2130990000000001</v>
      </c>
      <c r="H11" s="332">
        <f ca="1">INDEX(OFFSET('Adjustment scenario'!$D$1:$W$1,$D11-1,0),MATCH(H$4,'Adjustment scenario'!$D$10:$W$10,0))</f>
        <v>3.2666849999999998</v>
      </c>
      <c r="I11" s="332">
        <f ca="1">INDEX(OFFSET('Adjustment scenario'!$D$1:$W$1,$D11-1,0),MATCH(I$4,'Adjustment scenario'!$D$10:$W$10,0))</f>
        <v>3.3183456250000001</v>
      </c>
      <c r="J11" s="332">
        <f ca="1">INDEX(OFFSET('Adjustment scenario'!$D$1:$W$1,$D11-1,0),MATCH(J$4,'Adjustment scenario'!$D$10:$W$10,0))</f>
        <v>3.3700062500000003</v>
      </c>
      <c r="K11" s="332">
        <f ca="1">INDEX(OFFSET('Adjustment scenario'!$D$1:$W$1,$D11-1,0),MATCH(K$4,'Adjustment scenario'!$D$10:$W$10,0))</f>
        <v>3.4216668750000006</v>
      </c>
      <c r="L11" s="332">
        <f ca="1">INDEX(OFFSET('Adjustment scenario'!$D$1:$W$1,$D11-1,0),MATCH(L$4,'Adjustment scenario'!$D$10:$W$10,0))</f>
        <v>3.4733275000000008</v>
      </c>
      <c r="M11" s="332">
        <f ca="1">INDEX(OFFSET('Adjustment scenario'!$D$1:$W$1,$D11-1,0),MATCH(M$4,'Adjustment scenario'!$D$10:$W$10,0))</f>
        <v>3.524988125000001</v>
      </c>
      <c r="N11" s="332">
        <f ca="1">INDEX(OFFSET('Adjustment scenario'!$D$1:$W$1,$D11-1,0),MATCH(N$4,'Adjustment scenario'!$D$10:$W$10,0))</f>
        <v>3.5766487500000013</v>
      </c>
      <c r="O11" s="332">
        <f ca="1">INDEX(OFFSET('Adjustment scenario'!$D$1:$W$1,$D11-1,0),MATCH(O$4,'Adjustment scenario'!$D$10:$W$10,0))</f>
        <v>3.6283093750000015</v>
      </c>
      <c r="P11" s="332">
        <f ca="1">INDEX(OFFSET('Adjustment scenario'!$D$1:$W$1,$D11-1,0),MATCH(P$4,'Adjustment scenario'!$D$10:$W$10,0))</f>
        <v>3.67997</v>
      </c>
      <c r="Q11" s="332">
        <f ca="1">INDEX(OFFSET('Adjustment scenario'!$D$1:$W$1,$D11-1,0),MATCH(Q$4,'Adjustment scenario'!$D$10:$W$10,0))</f>
        <v>3.6959714999999997</v>
      </c>
      <c r="R11" s="332">
        <f ca="1">INDEX(OFFSET('Adjustment scenario'!$D$1:$W$1,$D11-1,0),MATCH(R$4,'Adjustment scenario'!$D$10:$W$10,0))</f>
        <v>3.711973</v>
      </c>
      <c r="S11" s="332">
        <f ca="1">INDEX(OFFSET('Adjustment scenario'!$D$1:$W$1,$D11-1,0),MATCH(S$4,'Adjustment scenario'!$D$10:$W$10,0))</f>
        <v>3.7279745000000002</v>
      </c>
      <c r="T11" s="332">
        <f ca="1">INDEX(OFFSET('Adjustment scenario'!$D$1:$W$1,$D11-1,0),MATCH(T$4,'Adjustment scenario'!$D$10:$W$10,0))</f>
        <v>3.743976</v>
      </c>
      <c r="U11" s="332">
        <f ca="1">INDEX(OFFSET('Adjustment scenario'!$D$1:$W$1,$D11-1,0),MATCH(U$4,'Adjustment scenario'!$D$10:$W$10,0))</f>
        <v>3.7599774999999998</v>
      </c>
      <c r="V11" s="332">
        <f ca="1">INDEX(OFFSET('Adjustment scenario'!$D$1:$W$1,$D11-1,0),MATCH(V$4,'Adjustment scenario'!$D$10:$W$10,0))</f>
        <v>3.775979</v>
      </c>
      <c r="W11" s="332">
        <f ca="1">INDEX(OFFSET('Adjustment scenario'!$D$1:$W$1,$D11-1,0),MATCH(W$4,'Adjustment scenario'!$D$10:$W$10,0))</f>
        <v>3.7919805000000002</v>
      </c>
      <c r="X11" s="332">
        <f ca="1">INDEX(OFFSET('Adjustment scenario'!$D$1:$W$1,$D11-1,0),MATCH(X$4,'Adjustment scenario'!$D$10:$W$10,0))</f>
        <v>3.807982</v>
      </c>
      <c r="Y11" s="271"/>
    </row>
    <row r="12" spans="1:25" x14ac:dyDescent="0.2">
      <c r="A12" s="271"/>
      <c r="B12" s="339">
        <v>8</v>
      </c>
      <c r="C12" s="346" t="s">
        <v>95</v>
      </c>
      <c r="D12" s="344">
        <v>38</v>
      </c>
      <c r="E12" s="345" t="s">
        <v>227</v>
      </c>
      <c r="F12" s="332">
        <f ca="1">INDEX(OFFSET('Adjustment scenario'!$D$1:$W$1,$D12-1,0),MATCH(F$4,'Adjustment scenario'!$D$10:$W$10,0))</f>
        <v>3.43</v>
      </c>
      <c r="G12" s="332">
        <f ca="1">INDEX(OFFSET('Adjustment scenario'!$D$1:$W$1,$D12-1,0),MATCH(G$4,'Adjustment scenario'!$D$10:$W$10,0))</f>
        <v>3.5642079999999998</v>
      </c>
      <c r="H12" s="332">
        <f ca="1">INDEX(OFFSET('Adjustment scenario'!$D$1:$W$1,$D12-1,0),MATCH(H$4,'Adjustment scenario'!$D$10:$W$10,0))</f>
        <v>2.8163749999999999</v>
      </c>
      <c r="I12" s="332">
        <f ca="1">INDEX(OFFSET('Adjustment scenario'!$D$1:$W$1,$D12-1,0),MATCH(I$4,'Adjustment scenario'!$D$10:$W$10,0))</f>
        <v>2.8050893749999997</v>
      </c>
      <c r="J12" s="332">
        <f ca="1">INDEX(OFFSET('Adjustment scenario'!$D$1:$W$1,$D12-1,0),MATCH(J$4,'Adjustment scenario'!$D$10:$W$10,0))</f>
        <v>2.7938037499999995</v>
      </c>
      <c r="K12" s="332">
        <f ca="1">INDEX(OFFSET('Adjustment scenario'!$D$1:$W$1,$D12-1,0),MATCH(K$4,'Adjustment scenario'!$D$10:$W$10,0))</f>
        <v>2.7825181249999993</v>
      </c>
      <c r="L12" s="332">
        <f ca="1">INDEX(OFFSET('Adjustment scenario'!$D$1:$W$1,$D12-1,0),MATCH(L$4,'Adjustment scenario'!$D$10:$W$10,0))</f>
        <v>2.7712324999999991</v>
      </c>
      <c r="M12" s="332">
        <f ca="1">INDEX(OFFSET('Adjustment scenario'!$D$1:$W$1,$D12-1,0),MATCH(M$4,'Adjustment scenario'!$D$10:$W$10,0))</f>
        <v>2.7599468749999989</v>
      </c>
      <c r="N12" s="332">
        <f ca="1">INDEX(OFFSET('Adjustment scenario'!$D$1:$W$1,$D12-1,0),MATCH(N$4,'Adjustment scenario'!$D$10:$W$10,0))</f>
        <v>2.7486612499999987</v>
      </c>
      <c r="O12" s="332">
        <f ca="1">INDEX(OFFSET('Adjustment scenario'!$D$1:$W$1,$D12-1,0),MATCH(O$4,'Adjustment scenario'!$D$10:$W$10,0))</f>
        <v>2.7373756249999985</v>
      </c>
      <c r="P12" s="332">
        <f ca="1">INDEX(OFFSET('Adjustment scenario'!$D$1:$W$1,$D12-1,0),MATCH(P$4,'Adjustment scenario'!$D$10:$W$10,0))</f>
        <v>2.7260900000000001</v>
      </c>
      <c r="Q12" s="332">
        <f ca="1">INDEX(OFFSET('Adjustment scenario'!$D$1:$W$1,$D12-1,0),MATCH(Q$4,'Adjustment scenario'!$D$10:$W$10,0))</f>
        <v>2.6897855000000002</v>
      </c>
      <c r="R12" s="332">
        <f ca="1">INDEX(OFFSET('Adjustment scenario'!$D$1:$W$1,$D12-1,0),MATCH(R$4,'Adjustment scenario'!$D$10:$W$10,0))</f>
        <v>2.6534810000000002</v>
      </c>
      <c r="S12" s="332">
        <f ca="1">INDEX(OFFSET('Adjustment scenario'!$D$1:$W$1,$D12-1,0),MATCH(S$4,'Adjustment scenario'!$D$10:$W$10,0))</f>
        <v>2.6171765000000002</v>
      </c>
      <c r="T12" s="332">
        <f ca="1">INDEX(OFFSET('Adjustment scenario'!$D$1:$W$1,$D12-1,0),MATCH(T$4,'Adjustment scenario'!$D$10:$W$10,0))</f>
        <v>2.5808720000000003</v>
      </c>
      <c r="U12" s="332">
        <f ca="1">INDEX(OFFSET('Adjustment scenario'!$D$1:$W$1,$D12-1,0),MATCH(U$4,'Adjustment scenario'!$D$10:$W$10,0))</f>
        <v>2.5445675000000003</v>
      </c>
      <c r="V12" s="332">
        <f ca="1">INDEX(OFFSET('Adjustment scenario'!$D$1:$W$1,$D12-1,0),MATCH(V$4,'Adjustment scenario'!$D$10:$W$10,0))</f>
        <v>2.5082629999999999</v>
      </c>
      <c r="W12" s="332">
        <f ca="1">INDEX(OFFSET('Adjustment scenario'!$D$1:$W$1,$D12-1,0),MATCH(W$4,'Adjustment scenario'!$D$10:$W$10,0))</f>
        <v>2.4719584999999999</v>
      </c>
      <c r="X12" s="332">
        <f ca="1">INDEX(OFFSET('Adjustment scenario'!$D$1:$W$1,$D12-1,0),MATCH(X$4,'Adjustment scenario'!$D$10:$W$10,0))</f>
        <v>2.435654</v>
      </c>
      <c r="Y12" s="271"/>
    </row>
    <row r="13" spans="1:25" x14ac:dyDescent="0.2">
      <c r="A13" s="271"/>
      <c r="B13" s="339">
        <v>9</v>
      </c>
      <c r="C13" s="343" t="s">
        <v>228</v>
      </c>
      <c r="D13" s="344">
        <v>36</v>
      </c>
      <c r="E13" s="345" t="s">
        <v>227</v>
      </c>
      <c r="F13" s="332">
        <f ca="1">INDEX(OFFSET('Adjustment scenario'!$D$1:$W$1,$D13-1,0),MATCH(F$4,'Adjustment scenario'!$D$10:$W$10,0))</f>
        <v>1.8992169999999999</v>
      </c>
      <c r="G13" s="332">
        <f ca="1">INDEX(OFFSET('Adjustment scenario'!$D$1:$W$1,$D13-1,0),MATCH(G$4,'Adjustment scenario'!$D$10:$W$10,0))</f>
        <v>2.1593610000000001</v>
      </c>
      <c r="H13" s="332">
        <f ca="1">INDEX(OFFSET('Adjustment scenario'!$D$1:$W$1,$D13-1,0),MATCH(H$4,'Adjustment scenario'!$D$10:$W$10,0))</f>
        <v>2.1774469999999999</v>
      </c>
      <c r="I13" s="332">
        <f ca="1">INDEX(OFFSET('Adjustment scenario'!$D$1:$W$1,$D13-1,0),MATCH(I$4,'Adjustment scenario'!$D$10:$W$10,0))</f>
        <v>2.2733169841339604</v>
      </c>
      <c r="J13" s="332">
        <f ca="1">INDEX(OFFSET('Adjustment scenario'!$D$1:$W$1,$D13-1,0),MATCH(J$4,'Adjustment scenario'!$D$10:$W$10,0))</f>
        <v>2.3607475558071473</v>
      </c>
      <c r="K13" s="332">
        <f ca="1">INDEX(OFFSET('Adjustment scenario'!$D$1:$W$1,$D13-1,0),MATCH(K$4,'Adjustment scenario'!$D$10:$W$10,0))</f>
        <v>2.4431415909904963</v>
      </c>
      <c r="L13" s="332">
        <f ca="1">INDEX(OFFSET('Adjustment scenario'!$D$1:$W$1,$D13-1,0),MATCH(L$4,'Adjustment scenario'!$D$10:$W$10,0))</f>
        <v>2.5198266539528995</v>
      </c>
      <c r="M13" s="332">
        <f ca="1">INDEX(OFFSET('Adjustment scenario'!$D$1:$W$1,$D13-1,0),MATCH(M$4,'Adjustment scenario'!$D$10:$W$10,0))</f>
        <v>2.5973688159629482</v>
      </c>
      <c r="N13" s="332">
        <f ca="1">INDEX(OFFSET('Adjustment scenario'!$D$1:$W$1,$D13-1,0),MATCH(N$4,'Adjustment scenario'!$D$10:$W$10,0))</f>
        <v>2.6755489566848842</v>
      </c>
      <c r="O13" s="332">
        <f ca="1">INDEX(OFFSET('Adjustment scenario'!$D$1:$W$1,$D13-1,0),MATCH(O$4,'Adjustment scenario'!$D$10:$W$10,0))</f>
        <v>2.7541143960072425</v>
      </c>
      <c r="P13" s="332">
        <f ca="1">INDEX(OFFSET('Adjustment scenario'!$D$1:$W$1,$D13-1,0),MATCH(P$4,'Adjustment scenario'!$D$10:$W$10,0))</f>
        <v>2.8337065749049279</v>
      </c>
      <c r="Q13" s="332">
        <f ca="1">INDEX(OFFSET('Adjustment scenario'!$D$1:$W$1,$D13-1,0),MATCH(Q$4,'Adjustment scenario'!$D$10:$W$10,0))</f>
        <v>2.9108813628077219</v>
      </c>
      <c r="R13" s="332">
        <f ca="1">INDEX(OFFSET('Adjustment scenario'!$D$1:$W$1,$D13-1,0),MATCH(R$4,'Adjustment scenario'!$D$10:$W$10,0))</f>
        <v>2.9844551995363542</v>
      </c>
      <c r="S13" s="332">
        <f ca="1">INDEX(OFFSET('Adjustment scenario'!$D$1:$W$1,$D13-1,0),MATCH(S$4,'Adjustment scenario'!$D$10:$W$10,0))</f>
        <v>3.0549671910119764</v>
      </c>
      <c r="T13" s="332">
        <f ca="1">INDEX(OFFSET('Adjustment scenario'!$D$1:$W$1,$D13-1,0),MATCH(T$4,'Adjustment scenario'!$D$10:$W$10,0))</f>
        <v>3.1219616741783081</v>
      </c>
      <c r="U13" s="332">
        <f ca="1">INDEX(OFFSET('Adjustment scenario'!$D$1:$W$1,$D13-1,0),MATCH(U$4,'Adjustment scenario'!$D$10:$W$10,0))</f>
        <v>3.1851678693625161</v>
      </c>
      <c r="V13" s="332">
        <f ca="1">INDEX(OFFSET('Adjustment scenario'!$D$1:$W$1,$D13-1,0),MATCH(V$4,'Adjustment scenario'!$D$10:$W$10,0))</f>
        <v>3.2450599286251043</v>
      </c>
      <c r="W13" s="332">
        <f ca="1">INDEX(OFFSET('Adjustment scenario'!$D$1:$W$1,$D13-1,0),MATCH(W$4,'Adjustment scenario'!$D$10:$W$10,0))</f>
        <v>3.3017809429073788</v>
      </c>
      <c r="X13" s="332">
        <f ca="1">INDEX(OFFSET('Adjustment scenario'!$D$1:$W$1,$D13-1,0),MATCH(X$4,'Adjustment scenario'!$D$10:$W$10,0))</f>
        <v>3.3548189146306986</v>
      </c>
      <c r="Y13" s="271"/>
    </row>
    <row r="14" spans="1:25" x14ac:dyDescent="0.2">
      <c r="A14" s="271"/>
      <c r="B14" s="339">
        <v>10</v>
      </c>
      <c r="C14" s="343" t="s">
        <v>229</v>
      </c>
      <c r="D14" s="344">
        <v>72</v>
      </c>
      <c r="E14" s="345" t="s">
        <v>221</v>
      </c>
      <c r="F14" s="332">
        <f ca="1">INDEX(OFFSET('Adjustment scenario'!$D$1:$W$1,$D14-1,0),MATCH(F$4,'Adjustment scenario'!$D$10:$W$10,0))</f>
        <v>1.2366870000000001</v>
      </c>
      <c r="G14" s="332">
        <f ca="1">INDEX(OFFSET('Adjustment scenario'!$D$1:$W$1,$D14-1,0),MATCH(G$4,'Adjustment scenario'!$D$10:$W$10,0))</f>
        <v>-0.20000970000000001</v>
      </c>
      <c r="H14" s="332">
        <f ca="1">INDEX(OFFSET('Adjustment scenario'!$D$1:$W$1,$D14-1,0),MATCH(H$4,'Adjustment scenario'!$D$10:$W$10,0))</f>
        <v>-0.2000015</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2.9879659999999975</v>
      </c>
      <c r="G15" s="332">
        <f ca="1">(INDEX(OFFSET('Adjustment scenario'!$D$1:$W$1,$D15-1,0),MATCH(G$4,'Adjustment scenario'!$D$10:$W$10,0))/INDEX(OFFSET('Adjustment scenario'!$D$1:$W$1,$D15-1,0),MATCH(F$4,'Adjustment scenario'!$D$10:$W$10,0))-1)*100</f>
        <v>2.8587279999999993</v>
      </c>
      <c r="H15" s="332">
        <f ca="1">(INDEX(OFFSET('Adjustment scenario'!$D$1:$W$1,$D15-1,0),MATCH(H$4,'Adjustment scenario'!$D$10:$W$10,0))/INDEX(OFFSET('Adjustment scenario'!$D$1:$W$1,$D15-1,0),MATCH(G$4,'Adjustment scenario'!$D$10:$W$10,0))-1)*100</f>
        <v>2.8765240000000025</v>
      </c>
      <c r="I15" s="332">
        <f ca="1">(INDEX(OFFSET('Adjustment scenario'!$D$1:$W$1,$D15-1,0),MATCH(I$4,'Adjustment scenario'!$D$10:$W$10,0))/INDEX(OFFSET('Adjustment scenario'!$D$1:$W$1,$D15-1,0),MATCH(H$4,'Adjustment scenario'!$D$10:$W$10,0))-1)*100</f>
        <v>2.4897629999999893</v>
      </c>
      <c r="J15" s="332">
        <f ca="1">(INDEX(OFFSET('Adjustment scenario'!$D$1:$W$1,$D15-1,0),MATCH(J$4,'Adjustment scenario'!$D$10:$W$10,0))/INDEX(OFFSET('Adjustment scenario'!$D$1:$W$1,$D15-1,0),MATCH(I$4,'Adjustment scenario'!$D$10:$W$10,0))-1)*100</f>
        <v>2.3493130000000084</v>
      </c>
      <c r="K15" s="332">
        <f ca="1">(INDEX(OFFSET('Adjustment scenario'!$D$1:$W$1,$D15-1,0),MATCH(K$4,'Adjustment scenario'!$D$10:$W$10,0))/INDEX(OFFSET('Adjustment scenario'!$D$1:$W$1,$D15-1,0),MATCH(J$4,'Adjustment scenario'!$D$10:$W$10,0))-1)*100</f>
        <v>2.2901749999999943</v>
      </c>
      <c r="L15" s="332">
        <f ca="1">(INDEX(OFFSET('Adjustment scenario'!$D$1:$W$1,$D15-1,0),MATCH(L$4,'Adjustment scenario'!$D$10:$W$10,0))/INDEX(OFFSET('Adjustment scenario'!$D$1:$W$1,$D15-1,0),MATCH(K$4,'Adjustment scenario'!$D$10:$W$10,0))-1)*100</f>
        <v>2.3063040000000035</v>
      </c>
      <c r="M15" s="332">
        <f ca="1">(INDEX(OFFSET('Adjustment scenario'!$D$1:$W$1,$D15-1,0),MATCH(M$4,'Adjustment scenario'!$D$10:$W$10,0))/INDEX(OFFSET('Adjustment scenario'!$D$1:$W$1,$D15-1,0),MATCH(L$4,'Adjustment scenario'!$D$10:$W$10,0))-1)*100</f>
        <v>2.3041789999999951</v>
      </c>
      <c r="N15" s="332">
        <f ca="1">(INDEX(OFFSET('Adjustment scenario'!$D$1:$W$1,$D15-1,0),MATCH(N$4,'Adjustment scenario'!$D$10:$W$10,0))/INDEX(OFFSET('Adjustment scenario'!$D$1:$W$1,$D15-1,0),MATCH(M$4,'Adjustment scenario'!$D$10:$W$10,0))-1)*100</f>
        <v>2.2821640000000087</v>
      </c>
      <c r="O15" s="332">
        <f ca="1">(INDEX(OFFSET('Adjustment scenario'!$D$1:$W$1,$D15-1,0),MATCH(O$4,'Adjustment scenario'!$D$10:$W$10,0))/INDEX(OFFSET('Adjustment scenario'!$D$1:$W$1,$D15-1,0),MATCH(N$4,'Adjustment scenario'!$D$10:$W$10,0))-1)*100</f>
        <v>2.2710089999999905</v>
      </c>
      <c r="P15" s="332">
        <f ca="1">(INDEX(OFFSET('Adjustment scenario'!$D$1:$W$1,$D15-1,0),MATCH(P$4,'Adjustment scenario'!$D$10:$W$10,0))/INDEX(OFFSET('Adjustment scenario'!$D$1:$W$1,$D15-1,0),MATCH(O$4,'Adjustment scenario'!$D$10:$W$10,0))-1)*100</f>
        <v>2.2812250000000089</v>
      </c>
      <c r="Q15" s="332">
        <f ca="1">(INDEX(OFFSET('Adjustment scenario'!$D$1:$W$1,$D15-1,0),MATCH(Q$4,'Adjustment scenario'!$D$10:$W$10,0))/INDEX(OFFSET('Adjustment scenario'!$D$1:$W$1,$D15-1,0),MATCH(P$4,'Adjustment scenario'!$D$10:$W$10,0))-1)*100</f>
        <v>2.1648190000000067</v>
      </c>
      <c r="R15" s="332">
        <f ca="1">(INDEX(OFFSET('Adjustment scenario'!$D$1:$W$1,$D15-1,0),MATCH(R$4,'Adjustment scenario'!$D$10:$W$10,0))/INDEX(OFFSET('Adjustment scenario'!$D$1:$W$1,$D15-1,0),MATCH(Q$4,'Adjustment scenario'!$D$10:$W$10,0))-1)*100</f>
        <v>2.0484139999999984</v>
      </c>
      <c r="S15" s="332">
        <f ca="1">(INDEX(OFFSET('Adjustment scenario'!$D$1:$W$1,$D15-1,0),MATCH(S$4,'Adjustment scenario'!$D$10:$W$10,0))/INDEX(OFFSET('Adjustment scenario'!$D$1:$W$1,$D15-1,0),MATCH(R$4,'Adjustment scenario'!$D$10:$W$10,0))-1)*100</f>
        <v>1.9320079999999962</v>
      </c>
      <c r="T15" s="332">
        <f ca="1">(INDEX(OFFSET('Adjustment scenario'!$D$1:$W$1,$D15-1,0),MATCH(T$4,'Adjustment scenario'!$D$10:$W$10,0))/INDEX(OFFSET('Adjustment scenario'!$D$1:$W$1,$D15-1,0),MATCH(S$4,'Adjustment scenario'!$D$10:$W$10,0))-1)*100</f>
        <v>1.8762340000000099</v>
      </c>
      <c r="U15" s="332">
        <f ca="1">(INDEX(OFFSET('Adjustment scenario'!$D$1:$W$1,$D15-1,0),MATCH(U$4,'Adjustment scenario'!$D$10:$W$10,0))/INDEX(OFFSET('Adjustment scenario'!$D$1:$W$1,$D15-1,0),MATCH(T$4,'Adjustment scenario'!$D$10:$W$10,0))-1)*100</f>
        <v>1.7763109999999971</v>
      </c>
      <c r="V15" s="332">
        <f ca="1">(INDEX(OFFSET('Adjustment scenario'!$D$1:$W$1,$D15-1,0),MATCH(V$4,'Adjustment scenario'!$D$10:$W$10,0))/INDEX(OFFSET('Adjustment scenario'!$D$1:$W$1,$D15-1,0),MATCH(U$4,'Adjustment scenario'!$D$10:$W$10,0))-1)*100</f>
        <v>1.6656959999999943</v>
      </c>
      <c r="W15" s="332">
        <f ca="1">(INDEX(OFFSET('Adjustment scenario'!$D$1:$W$1,$D15-1,0),MATCH(W$4,'Adjustment scenario'!$D$10:$W$10,0))/INDEX(OFFSET('Adjustment scenario'!$D$1:$W$1,$D15-1,0),MATCH(V$4,'Adjustment scenario'!$D$10:$W$10,0))-1)*100</f>
        <v>1.5366320000000044</v>
      </c>
      <c r="X15" s="332">
        <f ca="1">(INDEX(OFFSET('Adjustment scenario'!$D$1:$W$1,$D15-1,0),MATCH(X$4,'Adjustment scenario'!$D$10:$W$10,0))/INDEX(OFFSET('Adjustment scenario'!$D$1:$W$1,$D15-1,0),MATCH(W$4,'Adjustment scenario'!$D$10:$W$10,0))-1)*100</f>
        <v>1.4456980000000064</v>
      </c>
      <c r="Y15" s="271"/>
    </row>
    <row r="16" spans="1:25" x14ac:dyDescent="0.2">
      <c r="A16" s="271"/>
      <c r="B16" s="339">
        <v>12</v>
      </c>
      <c r="C16" s="335" t="s">
        <v>231</v>
      </c>
      <c r="D16" s="344">
        <v>24</v>
      </c>
      <c r="E16" s="345" t="s">
        <v>230</v>
      </c>
      <c r="F16" s="332">
        <f ca="1">INDEX(OFFSET('Adjustment scenario'!$D$1:$W$1,$D16-1,0),MATCH(F$4,'Adjustment scenario'!$D$10:$W$10,0))</f>
        <v>1.586897</v>
      </c>
      <c r="G16" s="332">
        <f ca="1">INDEX(OFFSET('Adjustment scenario'!$D$1:$W$1,$D16-1,0),MATCH(G$4,'Adjustment scenario'!$D$10:$W$10,0))</f>
        <v>2.3434569999999999</v>
      </c>
      <c r="H16" s="332">
        <f ca="1">INDEX(OFFSET('Adjustment scenario'!$D$1:$W$1,$D16-1,0),MATCH(H$4,'Adjustment scenario'!$D$10:$W$10,0))</f>
        <v>2.6849850000000064</v>
      </c>
      <c r="I16" s="332">
        <f ca="1">INDEX(OFFSET('Adjustment scenario'!$D$1:$W$1,$D16-1,0),MATCH(I$4,'Adjustment scenario'!$D$10:$W$10,0))</f>
        <v>1.8560361763048983</v>
      </c>
      <c r="J16" s="332">
        <f ca="1">INDEX(OFFSET('Adjustment scenario'!$D$1:$W$1,$D16-1,0),MATCH(J$4,'Adjustment scenario'!$D$10:$W$10,0))</f>
        <v>1.9263805590576721</v>
      </c>
      <c r="K16" s="332">
        <f ca="1">INDEX(OFFSET('Adjustment scenario'!$D$1:$W$1,$D16-1,0),MATCH(K$4,'Adjustment scenario'!$D$10:$W$10,0))</f>
        <v>2.0083915211622561</v>
      </c>
      <c r="L16" s="332">
        <f ca="1">INDEX(OFFSET('Adjustment scenario'!$D$1:$W$1,$D16-1,0),MATCH(L$4,'Adjustment scenario'!$D$10:$W$10,0))</f>
        <v>2.4488634757879879</v>
      </c>
      <c r="M16" s="332">
        <f ca="1">INDEX(OFFSET('Adjustment scenario'!$D$1:$W$1,$D16-1,0),MATCH(M$4,'Adjustment scenario'!$D$10:$W$10,0))</f>
        <v>2.4465371446816819</v>
      </c>
      <c r="N16" s="332">
        <f ca="1">INDEX(OFFSET('Adjustment scenario'!$D$1:$W$1,$D16-1,0),MATCH(N$4,'Adjustment scenario'!$D$10:$W$10,0))</f>
        <v>2.4242937342682014</v>
      </c>
      <c r="O16" s="332">
        <f ca="1">INDEX(OFFSET('Adjustment scenario'!$D$1:$W$1,$D16-1,0),MATCH(O$4,'Adjustment scenario'!$D$10:$W$10,0))</f>
        <v>2.2710119999999945</v>
      </c>
      <c r="P16" s="332">
        <f ca="1">INDEX(OFFSET('Adjustment scenario'!$D$1:$W$1,$D16-1,0),MATCH(P$4,'Adjustment scenario'!$D$10:$W$10,0))</f>
        <v>2.2812250000000089</v>
      </c>
      <c r="Q16" s="332">
        <f ca="1">INDEX(OFFSET('Adjustment scenario'!$D$1:$W$1,$D16-1,0),MATCH(Q$4,'Adjustment scenario'!$D$10:$W$10,0))</f>
        <v>2.1648190000000067</v>
      </c>
      <c r="R16" s="332">
        <f ca="1">INDEX(OFFSET('Adjustment scenario'!$D$1:$W$1,$D16-1,0),MATCH(R$4,'Adjustment scenario'!$D$10:$W$10,0))</f>
        <v>2.0484130000000045</v>
      </c>
      <c r="S16" s="332">
        <f ca="1">INDEX(OFFSET('Adjustment scenario'!$D$1:$W$1,$D16-1,0),MATCH(S$4,'Adjustment scenario'!$D$10:$W$10,0))</f>
        <v>1.9320039999999983</v>
      </c>
      <c r="T16" s="332">
        <f ca="1">INDEX(OFFSET('Adjustment scenario'!$D$1:$W$1,$D16-1,0),MATCH(T$4,'Adjustment scenario'!$D$10:$W$10,0))</f>
        <v>1.8762340000000099</v>
      </c>
      <c r="U16" s="332">
        <f ca="1">INDEX(OFFSET('Adjustment scenario'!$D$1:$W$1,$D16-1,0),MATCH(U$4,'Adjustment scenario'!$D$10:$W$10,0))</f>
        <v>1.7763090000000092</v>
      </c>
      <c r="V16" s="332">
        <f ca="1">INDEX(OFFSET('Adjustment scenario'!$D$1:$W$1,$D16-1,0),MATCH(V$4,'Adjustment scenario'!$D$10:$W$10,0))</f>
        <v>1.6656940000000064</v>
      </c>
      <c r="W16" s="332">
        <f ca="1">INDEX(OFFSET('Adjustment scenario'!$D$1:$W$1,$D16-1,0),MATCH(W$4,'Adjustment scenario'!$D$10:$W$10,0))</f>
        <v>1.5366369999999963</v>
      </c>
      <c r="X16" s="332">
        <f ca="1">INDEX(OFFSET('Adjustment scenario'!$D$1:$W$1,$D16-1,0),MATCH(X$4,'Adjustment scenario'!$D$10:$W$10,0))</f>
        <v>1.4456929999999923</v>
      </c>
      <c r="Y16" s="271"/>
    </row>
    <row r="17" spans="1:25" x14ac:dyDescent="0.2">
      <c r="A17" s="271"/>
      <c r="B17" s="339">
        <v>13</v>
      </c>
      <c r="C17" s="348" t="s">
        <v>232</v>
      </c>
      <c r="D17" s="344">
        <v>42</v>
      </c>
      <c r="E17" s="345" t="s">
        <v>230</v>
      </c>
      <c r="F17" s="332">
        <f ca="1">INDEX(OFFSET('Adjustment scenario'!$D$1:$W$1,$D17-1,0),MATCH(F$4,'Adjustment scenario'!$D$10:$W$10,0))</f>
        <v>8.8824670000000001</v>
      </c>
      <c r="G17" s="332">
        <f ca="1">INDEX(OFFSET('Adjustment scenario'!$D$1:$W$1,$D17-1,0),MATCH(G$4,'Adjustment scenario'!$D$10:$W$10,0))</f>
        <v>3.3049719999999998</v>
      </c>
      <c r="H17" s="332">
        <f ca="1">INDEX(OFFSET('Adjustment scenario'!$D$1:$W$1,$D17-1,0),MATCH(H$4,'Adjustment scenario'!$D$10:$W$10,0))</f>
        <v>2.9611909999999999</v>
      </c>
      <c r="I17" s="332">
        <f ca="1">INDEX(OFFSET('Adjustment scenario'!$D$1:$W$1,$D17-1,0),MATCH(I$4,'Adjustment scenario'!$D$10:$W$10,0))</f>
        <v>2.9097921250000001</v>
      </c>
      <c r="J17" s="332">
        <f ca="1">INDEX(OFFSET('Adjustment scenario'!$D$1:$W$1,$D17-1,0),MATCH(J$4,'Adjustment scenario'!$D$10:$W$10,0))</f>
        <v>2.8583932499999998</v>
      </c>
      <c r="K17" s="332">
        <f ca="1">INDEX(OFFSET('Adjustment scenario'!$D$1:$W$1,$D17-1,0),MATCH(K$4,'Adjustment scenario'!$D$10:$W$10,0))</f>
        <v>2.8069943749999999</v>
      </c>
      <c r="L17" s="332">
        <f ca="1">INDEX(OFFSET('Adjustment scenario'!$D$1:$W$1,$D17-1,0),MATCH(L$4,'Adjustment scenario'!$D$10:$W$10,0))</f>
        <v>2.7555955000000001</v>
      </c>
      <c r="M17" s="332">
        <f ca="1">INDEX(OFFSET('Adjustment scenario'!$D$1:$W$1,$D17-1,0),MATCH(M$4,'Adjustment scenario'!$D$10:$W$10,0))</f>
        <v>2.7041966249999998</v>
      </c>
      <c r="N17" s="332">
        <f ca="1">INDEX(OFFSET('Adjustment scenario'!$D$1:$W$1,$D17-1,0),MATCH(N$4,'Adjustment scenario'!$D$10:$W$10,0))</f>
        <v>2.65279775</v>
      </c>
      <c r="O17" s="332">
        <f ca="1">INDEX(OFFSET('Adjustment scenario'!$D$1:$W$1,$D17-1,0),MATCH(O$4,'Adjustment scenario'!$D$10:$W$10,0))</f>
        <v>2.6013988749999997</v>
      </c>
      <c r="P17" s="332">
        <f ca="1">INDEX(OFFSET('Adjustment scenario'!$D$1:$W$1,$D17-1,0),MATCH(P$4,'Adjustment scenario'!$D$10:$W$10,0))</f>
        <v>2.5499999999999998</v>
      </c>
      <c r="Q17" s="332">
        <f ca="1">INDEX(OFFSET('Adjustment scenario'!$D$1:$W$1,$D17-1,0),MATCH(Q$4,'Adjustment scenario'!$D$10:$W$10,0))</f>
        <v>2.5225</v>
      </c>
      <c r="R17" s="332">
        <f ca="1">INDEX(OFFSET('Adjustment scenario'!$D$1:$W$1,$D17-1,0),MATCH(R$4,'Adjustment scenario'!$D$10:$W$10,0))</f>
        <v>2.4949999999999997</v>
      </c>
      <c r="S17" s="332">
        <f ca="1">INDEX(OFFSET('Adjustment scenario'!$D$1:$W$1,$D17-1,0),MATCH(S$4,'Adjustment scenario'!$D$10:$W$10,0))</f>
        <v>2.4674999999999998</v>
      </c>
      <c r="T17" s="332">
        <f ca="1">INDEX(OFFSET('Adjustment scenario'!$D$1:$W$1,$D17-1,0),MATCH(T$4,'Adjustment scenario'!$D$10:$W$10,0))</f>
        <v>2.44</v>
      </c>
      <c r="U17" s="332">
        <f ca="1">INDEX(OFFSET('Adjustment scenario'!$D$1:$W$1,$D17-1,0),MATCH(U$4,'Adjustment scenario'!$D$10:$W$10,0))</f>
        <v>2.4124999999999996</v>
      </c>
      <c r="V17" s="332">
        <f ca="1">INDEX(OFFSET('Adjustment scenario'!$D$1:$W$1,$D17-1,0),MATCH(V$4,'Adjustment scenario'!$D$10:$W$10,0))</f>
        <v>2.3849999999999998</v>
      </c>
      <c r="W17" s="332">
        <f ca="1">INDEX(OFFSET('Adjustment scenario'!$D$1:$W$1,$D17-1,0),MATCH(W$4,'Adjustment scenario'!$D$10:$W$10,0))</f>
        <v>2.3574999999999999</v>
      </c>
      <c r="X17" s="332">
        <f ca="1">INDEX(OFFSET('Adjustment scenario'!$D$1:$W$1,$D17-1,0),MATCH(X$4,'Adjustment scenario'!$D$10:$W$10,0))</f>
        <v>2.33</v>
      </c>
      <c r="Y17" s="271"/>
    </row>
    <row r="18" spans="1:25" x14ac:dyDescent="0.2">
      <c r="A18" s="271"/>
      <c r="B18" s="339">
        <v>14</v>
      </c>
      <c r="C18" s="335" t="s">
        <v>233</v>
      </c>
      <c r="D18" s="344">
        <v>33</v>
      </c>
      <c r="E18" s="345" t="s">
        <v>230</v>
      </c>
      <c r="F18" s="332">
        <f ca="1">INDEX(OFFSET('Adjustment scenario'!$D$1:$W$1,$D18-1,0),MATCH(F$4,'Adjustment scenario'!$D$10:$W$10,0))</f>
        <v>10.610319602348994</v>
      </c>
      <c r="G18" s="332">
        <f ca="1">INDEX(OFFSET('Adjustment scenario'!$D$1:$W$1,$D18-1,0),MATCH(G$4,'Adjustment scenario'!$D$10:$W$10,0))</f>
        <v>5.7258795976820487</v>
      </c>
      <c r="H18" s="332">
        <f ca="1">INDEX(OFFSET('Adjustment scenario'!$D$1:$W$1,$D18-1,0),MATCH(H$4,'Adjustment scenario'!$D$10:$W$10,0))</f>
        <v>5.7256835341713552</v>
      </c>
      <c r="I18" s="332">
        <f ca="1">INDEX(OFFSET('Adjustment scenario'!$D$1:$W$1,$D18-1,0),MATCH(I$4,'Adjustment scenario'!$D$10:$W$10,0))</f>
        <v>4.8198350958001734</v>
      </c>
      <c r="J18" s="332">
        <f ca="1">INDEX(OFFSET('Adjustment scenario'!$D$1:$W$1,$D18-1,0),MATCH(J$4,'Adjustment scenario'!$D$10:$W$10,0))</f>
        <v>4.8398373409270778</v>
      </c>
      <c r="K18" s="332">
        <f ca="1">INDEX(OFFSET('Adjustment scenario'!$D$1:$W$1,$D18-1,0),MATCH(K$4,'Adjustment scenario'!$D$10:$W$10,0))</f>
        <v>4.8717613331892728</v>
      </c>
      <c r="L18" s="332">
        <f ca="1">INDEX(OFFSET('Adjustment scenario'!$D$1:$W$1,$D18-1,0),MATCH(L$4,'Adjustment scenario'!$D$10:$W$10,0))</f>
        <v>5.2719397475279317</v>
      </c>
      <c r="M18" s="332">
        <f ca="1">INDEX(OFFSET('Adjustment scenario'!$D$1:$W$1,$D18-1,0),MATCH(M$4,'Adjustment scenario'!$D$10:$W$10,0))</f>
        <v>5.2168929445775447</v>
      </c>
      <c r="N18" s="332">
        <f ca="1">INDEX(OFFSET('Adjustment scenario'!$D$1:$W$1,$D18-1,0),MATCH(N$4,'Adjustment scenario'!$D$10:$W$10,0))</f>
        <v>5.141403093904251</v>
      </c>
      <c r="O18" s="332">
        <f ca="1">INDEX(OFFSET('Adjustment scenario'!$D$1:$W$1,$D18-1,0),MATCH(O$4,'Adjustment scenario'!$D$10:$W$10,0))</f>
        <v>4.9314889556191011</v>
      </c>
      <c r="P18" s="332">
        <f ca="1">INDEX(OFFSET('Adjustment scenario'!$D$1:$W$1,$D18-1,0),MATCH(P$4,'Adjustment scenario'!$D$10:$W$10,0))</f>
        <v>4.8893962375000211</v>
      </c>
      <c r="Q18" s="332">
        <f ca="1">INDEX(OFFSET('Adjustment scenario'!$D$1:$W$1,$D18-1,0),MATCH(Q$4,'Adjustment scenario'!$D$10:$W$10,0))</f>
        <v>4.7419265592750115</v>
      </c>
      <c r="R18" s="332">
        <f ca="1">INDEX(OFFSET('Adjustment scenario'!$D$1:$W$1,$D18-1,0),MATCH(R$4,'Adjustment scenario'!$D$10:$W$10,0))</f>
        <v>4.5945209043499968</v>
      </c>
      <c r="S18" s="332">
        <f ca="1">INDEX(OFFSET('Adjustment scenario'!$D$1:$W$1,$D18-1,0),MATCH(S$4,'Adjustment scenario'!$D$10:$W$10,0))</f>
        <v>4.4471761987000091</v>
      </c>
      <c r="T18" s="332">
        <f ca="1">INDEX(OFFSET('Adjustment scenario'!$D$1:$W$1,$D18-1,0),MATCH(T$4,'Adjustment scenario'!$D$10:$W$10,0))</f>
        <v>4.3620141095999987</v>
      </c>
      <c r="U18" s="332">
        <f ca="1">INDEX(OFFSET('Adjustment scenario'!$D$1:$W$1,$D18-1,0),MATCH(U$4,'Adjustment scenario'!$D$10:$W$10,0))</f>
        <v>4.231662454625007</v>
      </c>
      <c r="V18" s="332">
        <f ca="1">INDEX(OFFSET('Adjustment scenario'!$D$1:$W$1,$D18-1,0),MATCH(V$4,'Adjustment scenario'!$D$10:$W$10,0))</f>
        <v>4.0904208019000077</v>
      </c>
      <c r="W18" s="332">
        <f ca="1">INDEX(OFFSET('Adjustment scenario'!$D$1:$W$1,$D18-1,0),MATCH(W$4,'Adjustment scenario'!$D$10:$W$10,0))</f>
        <v>3.9303632172749792</v>
      </c>
      <c r="X18" s="332">
        <f ca="1">INDEX(OFFSET('Adjustment scenario'!$D$1:$W$1,$D18-1,0),MATCH(X$4,'Adjustment scenario'!$D$10:$W$10,0))</f>
        <v>3.8093776468999918</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69.219569977397526</v>
      </c>
      <c r="G23" s="332">
        <f ca="1">INDEX(OFFSET('Financial stress'!$D$1:$W$1,$D23-1,0),MATCH(G$4,'Financial stress'!$D$10:$W$10,0))</f>
        <v>68.073476569055501</v>
      </c>
      <c r="H23" s="332">
        <f ca="1">INDEX(OFFSET('Financial stress'!$D$1:$W$1,$D23-1,0),MATCH(H$4,'Financial stress'!$D$10:$W$10,0))</f>
        <v>66.45039802251047</v>
      </c>
      <c r="I23" s="332">
        <f ca="1">INDEX(OFFSET('Financial stress'!$D$1:$W$1,$D23-1,0),MATCH(I$4,'Financial stress'!$D$10:$W$10,0))</f>
        <v>65.072880781600873</v>
      </c>
      <c r="J23" s="332">
        <f ca="1">INDEX(OFFSET('Financial stress'!$D$1:$W$1,$D23-1,0),MATCH(J$4,'Financial stress'!$D$10:$W$10,0))</f>
        <v>63.52490017138598</v>
      </c>
      <c r="K23" s="332">
        <f ca="1">INDEX(OFFSET('Financial stress'!$D$1:$W$1,$D23-1,0),MATCH(K$4,'Financial stress'!$D$10:$W$10,0))</f>
        <v>61.733292809090869</v>
      </c>
      <c r="L23" s="332">
        <f ca="1">INDEX(OFFSET('Financial stress'!$D$1:$W$1,$D23-1,0),MATCH(L$4,'Financial stress'!$D$10:$W$10,0))</f>
        <v>59.960569855591416</v>
      </c>
      <c r="M23" s="332">
        <f ca="1">INDEX(OFFSET('Financial stress'!$D$1:$W$1,$D23-1,0),MATCH(M$4,'Financial stress'!$D$10:$W$10,0))</f>
        <v>58.390465694821671</v>
      </c>
      <c r="N23" s="332">
        <f ca="1">INDEX(OFFSET('Financial stress'!$D$1:$W$1,$D23-1,0),MATCH(N$4,'Financial stress'!$D$10:$W$10,0))</f>
        <v>57.031575073952204</v>
      </c>
      <c r="O23" s="332">
        <f ca="1">INDEX(OFFSET('Financial stress'!$D$1:$W$1,$D23-1,0),MATCH(O$4,'Financial stress'!$D$10:$W$10,0))</f>
        <v>56.000468484494391</v>
      </c>
      <c r="P23" s="332">
        <f ca="1">INDEX(OFFSET('Financial stress'!$D$1:$W$1,$D23-1,0),MATCH(P$4,'Financial stress'!$D$10:$W$10,0))</f>
        <v>55.24247601647798</v>
      </c>
      <c r="Q23" s="332">
        <f ca="1">INDEX(OFFSET('Financial stress'!$D$1:$W$1,$D23-1,0),MATCH(Q$4,'Financial stress'!$D$10:$W$10,0))</f>
        <v>54.744409912261915</v>
      </c>
      <c r="R23" s="332">
        <f ca="1">INDEX(OFFSET('Financial stress'!$D$1:$W$1,$D23-1,0),MATCH(R$4,'Financial stress'!$D$10:$W$10,0))</f>
        <v>54.546767083710314</v>
      </c>
      <c r="S23" s="332">
        <f ca="1">INDEX(OFFSET('Financial stress'!$D$1:$W$1,$D23-1,0),MATCH(S$4,'Financial stress'!$D$10:$W$10,0))</f>
        <v>54.616451033926452</v>
      </c>
      <c r="T23" s="332">
        <f ca="1">INDEX(OFFSET('Financial stress'!$D$1:$W$1,$D23-1,0),MATCH(T$4,'Financial stress'!$D$10:$W$10,0))</f>
        <v>54.893694046612204</v>
      </c>
      <c r="U23" s="332">
        <f ca="1">INDEX(OFFSET('Financial stress'!$D$1:$W$1,$D23-1,0),MATCH(U$4,'Financial stress'!$D$10:$W$10,0))</f>
        <v>55.445475453141064</v>
      </c>
      <c r="V23" s="332">
        <f ca="1">INDEX(OFFSET('Financial stress'!$D$1:$W$1,$D23-1,0),MATCH(V$4,'Financial stress'!$D$10:$W$10,0))</f>
        <v>56.299186045912137</v>
      </c>
      <c r="W23" s="332">
        <f ca="1">INDEX(OFFSET('Financial stress'!$D$1:$W$1,$D23-1,0),MATCH(W$4,'Financial stress'!$D$10:$W$10,0))</f>
        <v>57.402941707444583</v>
      </c>
      <c r="X23" s="332">
        <f ca="1">INDEX(OFFSET('Financial stress'!$D$1:$W$1,$D23-1,0),MATCH(X$4,'Financial stress'!$D$10:$W$10,0))</f>
        <v>58.735712134131518</v>
      </c>
      <c r="Y23" s="271"/>
    </row>
    <row r="24" spans="1:25" x14ac:dyDescent="0.2">
      <c r="A24" s="271"/>
      <c r="B24" s="339">
        <v>2</v>
      </c>
      <c r="C24" s="343" t="s">
        <v>94</v>
      </c>
      <c r="D24" s="344">
        <v>36</v>
      </c>
      <c r="E24" s="345" t="s">
        <v>227</v>
      </c>
      <c r="F24" s="332">
        <f ca="1">INDEX(OFFSET('Financial stress'!$D$1:$W$1,$D24-1,0),MATCH(F$4,'Financial stress'!$D$10:$W$10,0))</f>
        <v>3.4</v>
      </c>
      <c r="G24" s="332">
        <f ca="1">INDEX(OFFSET('Financial stress'!$D$1:$W$1,$D24-1,0),MATCH(G$4,'Financial stress'!$D$10:$W$10,0))</f>
        <v>3.2130990000000001</v>
      </c>
      <c r="H24" s="332">
        <f ca="1">INDEX(OFFSET('Financial stress'!$D$1:$W$1,$D24-1,0),MATCH(H$4,'Financial stress'!$D$10:$W$10,0))</f>
        <v>3.2666849999999998</v>
      </c>
      <c r="I24" s="332">
        <f ca="1">INDEX(OFFSET('Financial stress'!$D$1:$W$1,$D24-1,0),MATCH(I$4,'Financial stress'!$D$10:$W$10,0))</f>
        <v>3.3183456250000001</v>
      </c>
      <c r="J24" s="332">
        <f ca="1">INDEX(OFFSET('Financial stress'!$D$1:$W$1,$D24-1,0),MATCH(J$4,'Financial stress'!$D$10:$W$10,0))</f>
        <v>3.3700062500000003</v>
      </c>
      <c r="K24" s="332">
        <f ca="1">INDEX(OFFSET('Financial stress'!$D$1:$W$1,$D24-1,0),MATCH(K$4,'Financial stress'!$D$10:$W$10,0))</f>
        <v>3.4216668750000006</v>
      </c>
      <c r="L24" s="332">
        <f ca="1">INDEX(OFFSET('Financial stress'!$D$1:$W$1,$D24-1,0),MATCH(L$4,'Financial stress'!$D$10:$W$10,0))</f>
        <v>4.4733274999999999</v>
      </c>
      <c r="M24" s="332">
        <f ca="1">INDEX(OFFSET('Financial stress'!$D$1:$W$1,$D24-1,0),MATCH(M$4,'Financial stress'!$D$10:$W$10,0))</f>
        <v>3.5249881250000001</v>
      </c>
      <c r="N24" s="332">
        <f ca="1">INDEX(OFFSET('Financial stress'!$D$1:$W$1,$D24-1,0),MATCH(N$4,'Financial stress'!$D$10:$W$10,0))</f>
        <v>3.5766487499999999</v>
      </c>
      <c r="O24" s="332">
        <f ca="1">INDEX(OFFSET('Financial stress'!$D$1:$W$1,$D24-1,0),MATCH(O$4,'Financial stress'!$D$10:$W$10,0))</f>
        <v>3.6283093749999997</v>
      </c>
      <c r="P24" s="332">
        <f ca="1">INDEX(OFFSET('Financial stress'!$D$1:$W$1,$D24-1,0),MATCH(P$4,'Financial stress'!$D$10:$W$10,0))</f>
        <v>3.67997</v>
      </c>
      <c r="Q24" s="332">
        <f ca="1">INDEX(OFFSET('Financial stress'!$D$1:$W$1,$D24-1,0),MATCH(Q$4,'Financial stress'!$D$10:$W$10,0))</f>
        <v>3.6959714999999997</v>
      </c>
      <c r="R24" s="332">
        <f ca="1">INDEX(OFFSET('Financial stress'!$D$1:$W$1,$D24-1,0),MATCH(R$4,'Financial stress'!$D$10:$W$10,0))</f>
        <v>3.711973</v>
      </c>
      <c r="S24" s="332">
        <f ca="1">INDEX(OFFSET('Financial stress'!$D$1:$W$1,$D24-1,0),MATCH(S$4,'Financial stress'!$D$10:$W$10,0))</f>
        <v>3.7279745000000002</v>
      </c>
      <c r="T24" s="332">
        <f ca="1">INDEX(OFFSET('Financial stress'!$D$1:$W$1,$D24-1,0),MATCH(T$4,'Financial stress'!$D$10:$W$10,0))</f>
        <v>3.743976</v>
      </c>
      <c r="U24" s="332">
        <f ca="1">INDEX(OFFSET('Financial stress'!$D$1:$W$1,$D24-1,0),MATCH(U$4,'Financial stress'!$D$10:$W$10,0))</f>
        <v>3.7599774999999998</v>
      </c>
      <c r="V24" s="332">
        <f ca="1">INDEX(OFFSET('Financial stress'!$D$1:$W$1,$D24-1,0),MATCH(V$4,'Financial stress'!$D$10:$W$10,0))</f>
        <v>3.775979</v>
      </c>
      <c r="W24" s="332">
        <f ca="1">INDEX(OFFSET('Financial stress'!$D$1:$W$1,$D24-1,0),MATCH(W$4,'Financial stress'!$D$10:$W$10,0))</f>
        <v>3.7919805000000002</v>
      </c>
      <c r="X24" s="332">
        <f ca="1">INDEX(OFFSET('Financial stress'!$D$1:$W$1,$D24-1,0),MATCH(X$4,'Financial stress'!$D$10:$W$10,0))</f>
        <v>3.807982</v>
      </c>
      <c r="Y24" s="271"/>
    </row>
    <row r="25" spans="1:25" x14ac:dyDescent="0.2">
      <c r="A25" s="271"/>
      <c r="B25" s="339">
        <v>3</v>
      </c>
      <c r="C25" s="343" t="s">
        <v>95</v>
      </c>
      <c r="D25" s="344">
        <v>37</v>
      </c>
      <c r="E25" s="345" t="s">
        <v>227</v>
      </c>
      <c r="F25" s="332">
        <f ca="1">INDEX(OFFSET('Financial stress'!$D$1:$W$1,$D25-1,0),MATCH(F$4,'Financial stress'!$D$10:$W$10,0))</f>
        <v>3.43</v>
      </c>
      <c r="G25" s="332">
        <f ca="1">INDEX(OFFSET('Financial stress'!$D$1:$W$1,$D25-1,0),MATCH(G$4,'Financial stress'!$D$10:$W$10,0))</f>
        <v>3.5642079999999998</v>
      </c>
      <c r="H25" s="332">
        <f ca="1">INDEX(OFFSET('Financial stress'!$D$1:$W$1,$D25-1,0),MATCH(H$4,'Financial stress'!$D$10:$W$10,0))</f>
        <v>2.8163749999999999</v>
      </c>
      <c r="I25" s="332">
        <f ca="1">INDEX(OFFSET('Financial stress'!$D$1:$W$1,$D25-1,0),MATCH(I$4,'Financial stress'!$D$10:$W$10,0))</f>
        <v>2.8050893749999997</v>
      </c>
      <c r="J25" s="332">
        <f ca="1">INDEX(OFFSET('Financial stress'!$D$1:$W$1,$D25-1,0),MATCH(J$4,'Financial stress'!$D$10:$W$10,0))</f>
        <v>2.7938037499999995</v>
      </c>
      <c r="K25" s="332">
        <f ca="1">INDEX(OFFSET('Financial stress'!$D$1:$W$1,$D25-1,0),MATCH(K$4,'Financial stress'!$D$10:$W$10,0))</f>
        <v>2.7825181249999993</v>
      </c>
      <c r="L25" s="332">
        <f ca="1">INDEX(OFFSET('Financial stress'!$D$1:$W$1,$D25-1,0),MATCH(L$4,'Financial stress'!$D$10:$W$10,0))</f>
        <v>3.7712325</v>
      </c>
      <c r="M25" s="332">
        <f ca="1">INDEX(OFFSET('Financial stress'!$D$1:$W$1,$D25-1,0),MATCH(M$4,'Financial stress'!$D$10:$W$10,0))</f>
        <v>2.7599468749999998</v>
      </c>
      <c r="N25" s="332">
        <f ca="1">INDEX(OFFSET('Financial stress'!$D$1:$W$1,$D25-1,0),MATCH(N$4,'Financial stress'!$D$10:$W$10,0))</f>
        <v>2.7486612500000001</v>
      </c>
      <c r="O25" s="332">
        <f ca="1">INDEX(OFFSET('Financial stress'!$D$1:$W$1,$D25-1,0),MATCH(O$4,'Financial stress'!$D$10:$W$10,0))</f>
        <v>2.7373756250000003</v>
      </c>
      <c r="P25" s="332">
        <f ca="1">INDEX(OFFSET('Financial stress'!$D$1:$W$1,$D25-1,0),MATCH(P$4,'Financial stress'!$D$10:$W$10,0))</f>
        <v>2.7260900000000001</v>
      </c>
      <c r="Q25" s="332">
        <f ca="1">INDEX(OFFSET('Financial stress'!$D$1:$W$1,$D25-1,0),MATCH(Q$4,'Financial stress'!$D$10:$W$10,0))</f>
        <v>2.6897855000000002</v>
      </c>
      <c r="R25" s="332">
        <f ca="1">INDEX(OFFSET('Financial stress'!$D$1:$W$1,$D25-1,0),MATCH(R$4,'Financial stress'!$D$10:$W$10,0))</f>
        <v>2.6534810000000002</v>
      </c>
      <c r="S25" s="332">
        <f ca="1">INDEX(OFFSET('Financial stress'!$D$1:$W$1,$D25-1,0),MATCH(S$4,'Financial stress'!$D$10:$W$10,0))</f>
        <v>2.6171765000000002</v>
      </c>
      <c r="T25" s="332">
        <f ca="1">INDEX(OFFSET('Financial stress'!$D$1:$W$1,$D25-1,0),MATCH(T$4,'Financial stress'!$D$10:$W$10,0))</f>
        <v>2.5808720000000003</v>
      </c>
      <c r="U25" s="332">
        <f ca="1">INDEX(OFFSET('Financial stress'!$D$1:$W$1,$D25-1,0),MATCH(U$4,'Financial stress'!$D$10:$W$10,0))</f>
        <v>2.5445675000000003</v>
      </c>
      <c r="V25" s="332">
        <f ca="1">INDEX(OFFSET('Financial stress'!$D$1:$W$1,$D25-1,0),MATCH(V$4,'Financial stress'!$D$10:$W$10,0))</f>
        <v>2.5082629999999999</v>
      </c>
      <c r="W25" s="332">
        <f ca="1">INDEX(OFFSET('Financial stress'!$D$1:$W$1,$D25-1,0),MATCH(W$4,'Financial stress'!$D$10:$W$10,0))</f>
        <v>2.4719584999999999</v>
      </c>
      <c r="X25" s="332">
        <f ca="1">INDEX(OFFSET('Financial stress'!$D$1:$W$1,$D25-1,0),MATCH(X$4,'Financial stress'!$D$10:$W$10,0))</f>
        <v>2.435654</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69.219569977397526</v>
      </c>
      <c r="G27" s="332">
        <f ca="1">INDEX(OFFSET('Lower SPB'!$D$1:$W$1,$D27-1,0),MATCH(G$4,'Lower SPB'!$D$10:$W$10,0))</f>
        <v>68.073476569055487</v>
      </c>
      <c r="H27" s="332">
        <f ca="1">INDEX(OFFSET('Lower SPB'!$D$1:$W$1,$D27-1,0),MATCH(H$4,'Lower SPB'!$D$10:$W$10,0))</f>
        <v>66.450398022510456</v>
      </c>
      <c r="I27" s="332">
        <f ca="1">INDEX(OFFSET('Lower SPB'!$D$1:$W$1,$D27-1,0),MATCH(I$4,'Lower SPB'!$D$10:$W$10,0))</f>
        <v>65.072880781600858</v>
      </c>
      <c r="J27" s="332">
        <f ca="1">INDEX(OFFSET('Lower SPB'!$D$1:$W$1,$D27-1,0),MATCH(J$4,'Lower SPB'!$D$10:$W$10,0))</f>
        <v>63.524900171385966</v>
      </c>
      <c r="K27" s="332">
        <f ca="1">INDEX(OFFSET('Lower SPB'!$D$1:$W$1,$D27-1,0),MATCH(K$4,'Lower SPB'!$D$10:$W$10,0))</f>
        <v>61.733292809090855</v>
      </c>
      <c r="L27" s="332">
        <f ca="1">INDEX(OFFSET('Lower SPB'!$D$1:$W$1,$D27-1,0),MATCH(L$4,'Lower SPB'!$D$10:$W$10,0))</f>
        <v>59.958424879905444</v>
      </c>
      <c r="M27" s="332">
        <f ca="1">INDEX(OFFSET('Lower SPB'!$D$1:$W$1,$D27-1,0),MATCH(M$4,'Lower SPB'!$D$10:$W$10,0))</f>
        <v>58.685221374373427</v>
      </c>
      <c r="N27" s="332">
        <f ca="1">INDEX(OFFSET('Lower SPB'!$D$1:$W$1,$D27-1,0),MATCH(N$4,'Lower SPB'!$D$10:$W$10,0))</f>
        <v>57.853517260189463</v>
      </c>
      <c r="O27" s="332">
        <f ca="1">INDEX(OFFSET('Lower SPB'!$D$1:$W$1,$D27-1,0),MATCH(O$4,'Lower SPB'!$D$10:$W$10,0))</f>
        <v>57.284963381394284</v>
      </c>
      <c r="P27" s="332">
        <f ca="1">INDEX(OFFSET('Lower SPB'!$D$1:$W$1,$D27-1,0),MATCH(P$4,'Lower SPB'!$D$10:$W$10,0))</f>
        <v>57.006006477817103</v>
      </c>
      <c r="Q27" s="332">
        <f ca="1">INDEX(OFFSET('Lower SPB'!$D$1:$W$1,$D27-1,0),MATCH(Q$4,'Lower SPB'!$D$10:$W$10,0))</f>
        <v>56.964222330706789</v>
      </c>
      <c r="R27" s="332">
        <f ca="1">INDEX(OFFSET('Lower SPB'!$D$1:$W$1,$D27-1,0),MATCH(R$4,'Lower SPB'!$D$10:$W$10,0))</f>
        <v>57.223991014869597</v>
      </c>
      <c r="S27" s="332">
        <f ca="1">INDEX(OFFSET('Lower SPB'!$D$1:$W$1,$D27-1,0),MATCH(S$4,'Lower SPB'!$D$10:$W$10,0))</f>
        <v>57.753276425558852</v>
      </c>
      <c r="T27" s="332">
        <f ca="1">INDEX(OFFSET('Lower SPB'!$D$1:$W$1,$D27-1,0),MATCH(T$4,'Lower SPB'!$D$10:$W$10,0))</f>
        <v>58.491570398579157</v>
      </c>
      <c r="U27" s="332">
        <f ca="1">INDEX(OFFSET('Lower SPB'!$D$1:$W$1,$D27-1,0),MATCH(U$4,'Lower SPB'!$D$10:$W$10,0))</f>
        <v>59.508008729209337</v>
      </c>
      <c r="V27" s="332">
        <f ca="1">INDEX(OFFSET('Lower SPB'!$D$1:$W$1,$D27-1,0),MATCH(V$4,'Lower SPB'!$D$10:$W$10,0))</f>
        <v>60.831443890775887</v>
      </c>
      <c r="W27" s="332">
        <f ca="1">INDEX(OFFSET('Lower SPB'!$D$1:$W$1,$D27-1,0),MATCH(W$4,'Lower SPB'!$D$10:$W$10,0))</f>
        <v>62.411989414163628</v>
      </c>
      <c r="X27" s="332">
        <f ca="1">INDEX(OFFSET('Lower SPB'!$D$1:$W$1,$D27-1,0),MATCH(X$4,'Lower SPB'!$D$10:$W$10,0))</f>
        <v>64.22814234034692</v>
      </c>
      <c r="Y27" s="271"/>
    </row>
    <row r="28" spans="1:25" x14ac:dyDescent="0.2">
      <c r="A28" s="271"/>
      <c r="B28" s="339">
        <v>5</v>
      </c>
      <c r="C28" s="343" t="s">
        <v>40</v>
      </c>
      <c r="D28" s="344">
        <v>12</v>
      </c>
      <c r="E28" s="345" t="s">
        <v>223</v>
      </c>
      <c r="F28" s="332">
        <f ca="1">INDEX(OFFSET('Lower SPB'!$D$1:$W$1,$D28-1,0),MATCH(F$4,'Lower SPB'!$D$10:$W$10,0))</f>
        <v>-1.555059</v>
      </c>
      <c r="G28" s="332">
        <f ca="1">INDEX(OFFSET('Lower SPB'!$D$1:$W$1,$D28-1,0),MATCH(G$4,'Lower SPB'!$D$10:$W$10,0))</f>
        <v>-1.244675</v>
      </c>
      <c r="H28" s="332">
        <f ca="1">INDEX(OFFSET('Lower SPB'!$D$1:$W$1,$D28-1,0),MATCH(H$4,'Lower SPB'!$D$10:$W$10,0))</f>
        <v>-0.80467500000000003</v>
      </c>
      <c r="I28" s="332">
        <f ca="1">INDEX(OFFSET('Lower SPB'!$D$1:$W$1,$D28-1,0),MATCH(I$4,'Lower SPB'!$D$10:$W$10,0))</f>
        <v>-0.36467500000000003</v>
      </c>
      <c r="J28" s="332">
        <f ca="1">INDEX(OFFSET('Lower SPB'!$D$1:$W$1,$D28-1,0),MATCH(J$4,'Lower SPB'!$D$10:$W$10,0))</f>
        <v>7.5324999999999975E-2</v>
      </c>
      <c r="K28" s="332">
        <f ca="1">INDEX(OFFSET('Lower SPB'!$D$1:$W$1,$D28-1,0),MATCH(K$4,'Lower SPB'!$D$10:$W$10,0))</f>
        <v>0.51532500000000003</v>
      </c>
      <c r="L28" s="332">
        <f ca="1">INDEX(OFFSET('Lower SPB'!$D$1:$W$1,$D28-1,0),MATCH(L$4,'Lower SPB'!$D$10:$W$10,0))</f>
        <v>0.26532500000000003</v>
      </c>
      <c r="M28" s="332">
        <f ca="1">INDEX(OFFSET('Lower SPB'!$D$1:$W$1,$D28-1,0),MATCH(M$4,'Lower SPB'!$D$10:$W$10,0))</f>
        <v>1.5325000000000033E-2</v>
      </c>
      <c r="N28" s="332">
        <f ca="1">INDEX(OFFSET('Lower SPB'!$D$1:$W$1,$D28-1,0),MATCH(N$4,'Lower SPB'!$D$10:$W$10,0))</f>
        <v>1.5325000000000033E-2</v>
      </c>
      <c r="O28" s="332">
        <f ca="1">INDEX(OFFSET('Lower SPB'!$D$1:$W$1,$D28-1,0),MATCH(O$4,'Lower SPB'!$D$10:$W$10,0))</f>
        <v>1.5325000000000033E-2</v>
      </c>
      <c r="P28" s="332">
        <f ca="1">INDEX(OFFSET('Lower SPB'!$D$1:$W$1,$D28-1,0),MATCH(P$4,'Lower SPB'!$D$10:$W$10,0))</f>
        <v>1.5325000000000033E-2</v>
      </c>
      <c r="Q28" s="332">
        <f ca="1">INDEX(OFFSET('Lower SPB'!$D$1:$W$1,$D28-1,0),MATCH(Q$4,'Lower SPB'!$D$10:$W$10,0))</f>
        <v>1.5325000000000033E-2</v>
      </c>
      <c r="R28" s="332">
        <f ca="1">INDEX(OFFSET('Lower SPB'!$D$1:$W$1,$D28-1,0),MATCH(R$4,'Lower SPB'!$D$10:$W$10,0))</f>
        <v>1.5325000000000033E-2</v>
      </c>
      <c r="S28" s="332">
        <f ca="1">INDEX(OFFSET('Lower SPB'!$D$1:$W$1,$D28-1,0),MATCH(S$4,'Lower SPB'!$D$10:$W$10,0))</f>
        <v>1.5325000000000033E-2</v>
      </c>
      <c r="T28" s="332">
        <f ca="1">INDEX(OFFSET('Lower SPB'!$D$1:$W$1,$D28-1,0),MATCH(T$4,'Lower SPB'!$D$10:$W$10,0))</f>
        <v>1.5325000000000033E-2</v>
      </c>
      <c r="U28" s="332">
        <f ca="1">INDEX(OFFSET('Lower SPB'!$D$1:$W$1,$D28-1,0),MATCH(U$4,'Lower SPB'!$D$10:$W$10,0))</f>
        <v>1.5325000000000033E-2</v>
      </c>
      <c r="V28" s="332">
        <f ca="1">INDEX(OFFSET('Lower SPB'!$D$1:$W$1,$D28-1,0),MATCH(V$4,'Lower SPB'!$D$10:$W$10,0))</f>
        <v>1.5325000000000033E-2</v>
      </c>
      <c r="W28" s="332">
        <f ca="1">INDEX(OFFSET('Lower SPB'!$D$1:$W$1,$D28-1,0),MATCH(W$4,'Lower SPB'!$D$10:$W$10,0))</f>
        <v>1.5325000000000033E-2</v>
      </c>
      <c r="X28" s="332">
        <f ca="1">INDEX(OFFSET('Lower SPB'!$D$1:$W$1,$D28-1,0),MATCH(X$4,'Lower SPB'!$D$10:$W$10,0))</f>
        <v>1.5325000000000033E-2</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69.219569977397526</v>
      </c>
      <c r="G30" s="332">
        <f ca="1">INDEX(OFFSET('Adverse (r-g)'!$D$1:$W$1,$D30-1,0),MATCH(G$4,'Adverse (r-g)'!$D$10:$W$10,0))</f>
        <v>68.073476569055487</v>
      </c>
      <c r="H30" s="332">
        <f ca="1">INDEX(OFFSET('Adverse (r-g)'!$D$1:$W$1,$D30-1,0),MATCH(H$4,'Adverse (r-g)'!$D$10:$W$10,0))</f>
        <v>66.450398022510456</v>
      </c>
      <c r="I30" s="332">
        <f ca="1">INDEX(OFFSET('Adverse (r-g)'!$D$1:$W$1,$D30-1,0),MATCH(I$4,'Adverse (r-g)'!$D$10:$W$10,0))</f>
        <v>65.072880781600858</v>
      </c>
      <c r="J30" s="332">
        <f ca="1">INDEX(OFFSET('Adverse (r-g)'!$D$1:$W$1,$D30-1,0),MATCH(J$4,'Adverse (r-g)'!$D$10:$W$10,0))</f>
        <v>63.524900171385966</v>
      </c>
      <c r="K30" s="332">
        <f ca="1">INDEX(OFFSET('Adverse (r-g)'!$D$1:$W$1,$D30-1,0),MATCH(K$4,'Adverse (r-g)'!$D$10:$W$10,0))</f>
        <v>61.733292809090855</v>
      </c>
      <c r="L30" s="332">
        <f ca="1">INDEX(OFFSET('Adverse (r-g)'!$D$1:$W$1,$D30-1,0),MATCH(L$4,'Adverse (r-g)'!$D$10:$W$10,0))</f>
        <v>60.227522360913483</v>
      </c>
      <c r="M30" s="332">
        <f ca="1">INDEX(OFFSET('Adverse (r-g)'!$D$1:$W$1,$D30-1,0),MATCH(M$4,'Adverse (r-g)'!$D$10:$W$10,0))</f>
        <v>58.948635780994373</v>
      </c>
      <c r="N30" s="332">
        <f ca="1">INDEX(OFFSET('Adverse (r-g)'!$D$1:$W$1,$D30-1,0),MATCH(N$4,'Adverse (r-g)'!$D$10:$W$10,0))</f>
        <v>57.891444388016289</v>
      </c>
      <c r="O30" s="332">
        <f ca="1">INDEX(OFFSET('Adverse (r-g)'!$D$1:$W$1,$D30-1,0),MATCH(O$4,'Adverse (r-g)'!$D$10:$W$10,0))</f>
        <v>57.174000768911377</v>
      </c>
      <c r="P30" s="332">
        <f ca="1">INDEX(OFFSET('Adverse (r-g)'!$D$1:$W$1,$D30-1,0),MATCH(P$4,'Adverse (r-g)'!$D$10:$W$10,0))</f>
        <v>56.741169078184825</v>
      </c>
      <c r="Q30" s="332">
        <f ca="1">INDEX(OFFSET('Adverse (r-g)'!$D$1:$W$1,$D30-1,0),MATCH(Q$4,'Adverse (r-g)'!$D$10:$W$10,0))</f>
        <v>56.582954465220688</v>
      </c>
      <c r="R30" s="332">
        <f ca="1">INDEX(OFFSET('Adverse (r-g)'!$D$1:$W$1,$D30-1,0),MATCH(R$4,'Adverse (r-g)'!$D$10:$W$10,0))</f>
        <v>56.741303541090041</v>
      </c>
      <c r="S30" s="332">
        <f ca="1">INDEX(OFFSET('Adverse (r-g)'!$D$1:$W$1,$D30-1,0),MATCH(S$4,'Adverse (r-g)'!$D$10:$W$10,0))</f>
        <v>57.18528475887409</v>
      </c>
      <c r="T30" s="332">
        <f ca="1">INDEX(OFFSET('Adverse (r-g)'!$D$1:$W$1,$D30-1,0),MATCH(T$4,'Adverse (r-g)'!$D$10:$W$10,0))</f>
        <v>57.855350821595756</v>
      </c>
      <c r="U30" s="332">
        <f ca="1">INDEX(OFFSET('Adverse (r-g)'!$D$1:$W$1,$D30-1,0),MATCH(U$4,'Adverse (r-g)'!$D$10:$W$10,0))</f>
        <v>58.821502666822468</v>
      </c>
      <c r="V30" s="332">
        <f ca="1">INDEX(OFFSET('Adverse (r-g)'!$D$1:$W$1,$D30-1,0),MATCH(V$4,'Adverse (r-g)'!$D$10:$W$10,0))</f>
        <v>60.114198604376263</v>
      </c>
      <c r="W30" s="332">
        <f ca="1">INDEX(OFFSET('Adverse (r-g)'!$D$1:$W$1,$D30-1,0),MATCH(W$4,'Adverse (r-g)'!$D$10:$W$10,0))</f>
        <v>61.685645720826351</v>
      </c>
      <c r="X30" s="332">
        <f ca="1">INDEX(OFFSET('Adverse (r-g)'!$D$1:$W$1,$D30-1,0),MATCH(X$4,'Adverse (r-g)'!$D$10:$W$10,0))</f>
        <v>63.516114018937003</v>
      </c>
      <c r="Y30" s="271"/>
    </row>
    <row r="31" spans="1:25" x14ac:dyDescent="0.2">
      <c r="A31" s="271"/>
      <c r="B31" s="339">
        <v>7</v>
      </c>
      <c r="C31" s="343" t="s">
        <v>94</v>
      </c>
      <c r="D31" s="344">
        <v>37</v>
      </c>
      <c r="E31" s="345" t="s">
        <v>227</v>
      </c>
      <c r="F31" s="332">
        <f ca="1">INDEX(OFFSET('Adverse (r-g)'!$D$1:$W$1,$D31-1,0),MATCH(F$4,'Adverse (r-g)'!$D$10:$W$10,0))</f>
        <v>3.4</v>
      </c>
      <c r="G31" s="332">
        <f ca="1">INDEX(OFFSET('Adverse (r-g)'!$D$1:$W$1,$D31-1,0),MATCH(G$4,'Adverse (r-g)'!$D$10:$W$10,0))</f>
        <v>3.2130990000000001</v>
      </c>
      <c r="H31" s="332">
        <f ca="1">INDEX(OFFSET('Adverse (r-g)'!$D$1:$W$1,$D31-1,0),MATCH(H$4,'Adverse (r-g)'!$D$10:$W$10,0))</f>
        <v>3.2666849999999998</v>
      </c>
      <c r="I31" s="332">
        <f ca="1">INDEX(OFFSET('Adverse (r-g)'!$D$1:$W$1,$D31-1,0),MATCH(I$4,'Adverse (r-g)'!$D$10:$W$10,0))</f>
        <v>3.3183456250000001</v>
      </c>
      <c r="J31" s="332">
        <f ca="1">INDEX(OFFSET('Adverse (r-g)'!$D$1:$W$1,$D31-1,0),MATCH(J$4,'Adverse (r-g)'!$D$10:$W$10,0))</f>
        <v>3.3700062499999999</v>
      </c>
      <c r="K31" s="332">
        <f ca="1">INDEX(OFFSET('Adverse (r-g)'!$D$1:$W$1,$D31-1,0),MATCH(K$4,'Adverse (r-g)'!$D$10:$W$10,0))</f>
        <v>3.4216668749999997</v>
      </c>
      <c r="L31" s="332">
        <f ca="1">INDEX(OFFSET('Adverse (r-g)'!$D$1:$W$1,$D31-1,0),MATCH(L$4,'Adverse (r-g)'!$D$10:$W$10,0))</f>
        <v>3.9733274999999999</v>
      </c>
      <c r="M31" s="332">
        <f ca="1">INDEX(OFFSET('Adverse (r-g)'!$D$1:$W$1,$D31-1,0),MATCH(M$4,'Adverse (r-g)'!$D$10:$W$10,0))</f>
        <v>4.0249881250000001</v>
      </c>
      <c r="N31" s="332">
        <f ca="1">INDEX(OFFSET('Adverse (r-g)'!$D$1:$W$1,$D31-1,0),MATCH(N$4,'Adverse (r-g)'!$D$10:$W$10,0))</f>
        <v>4.0766487500000004</v>
      </c>
      <c r="O31" s="332">
        <f ca="1">INDEX(OFFSET('Adverse (r-g)'!$D$1:$W$1,$D31-1,0),MATCH(O$4,'Adverse (r-g)'!$D$10:$W$10,0))</f>
        <v>4.1283093749999997</v>
      </c>
      <c r="P31" s="332">
        <f ca="1">INDEX(OFFSET('Adverse (r-g)'!$D$1:$W$1,$D31-1,0),MATCH(P$4,'Adverse (r-g)'!$D$10:$W$10,0))</f>
        <v>4.17997</v>
      </c>
      <c r="Q31" s="332">
        <f ca="1">INDEX(OFFSET('Adverse (r-g)'!$D$1:$W$1,$D31-1,0),MATCH(Q$4,'Adverse (r-g)'!$D$10:$W$10,0))</f>
        <v>4.1959714999999997</v>
      </c>
      <c r="R31" s="332">
        <f ca="1">INDEX(OFFSET('Adverse (r-g)'!$D$1:$W$1,$D31-1,0),MATCH(R$4,'Adverse (r-g)'!$D$10:$W$10,0))</f>
        <v>4.2119730000000004</v>
      </c>
      <c r="S31" s="332">
        <f ca="1">INDEX(OFFSET('Adverse (r-g)'!$D$1:$W$1,$D31-1,0),MATCH(S$4,'Adverse (r-g)'!$D$10:$W$10,0))</f>
        <v>4.2279745000000002</v>
      </c>
      <c r="T31" s="332">
        <f ca="1">INDEX(OFFSET('Adverse (r-g)'!$D$1:$W$1,$D31-1,0),MATCH(T$4,'Adverse (r-g)'!$D$10:$W$10,0))</f>
        <v>4.243976</v>
      </c>
      <c r="U31" s="332">
        <f ca="1">INDEX(OFFSET('Adverse (r-g)'!$D$1:$W$1,$D31-1,0),MATCH(U$4,'Adverse (r-g)'!$D$10:$W$10,0))</f>
        <v>4.2599774999999998</v>
      </c>
      <c r="V31" s="332">
        <f ca="1">INDEX(OFFSET('Adverse (r-g)'!$D$1:$W$1,$D31-1,0),MATCH(V$4,'Adverse (r-g)'!$D$10:$W$10,0))</f>
        <v>4.2759789999999995</v>
      </c>
      <c r="W31" s="332">
        <f ca="1">INDEX(OFFSET('Adverse (r-g)'!$D$1:$W$1,$D31-1,0),MATCH(W$4,'Adverse (r-g)'!$D$10:$W$10,0))</f>
        <v>4.2919805000000002</v>
      </c>
      <c r="X31" s="332">
        <f ca="1">INDEX(OFFSET('Adverse (r-g)'!$D$1:$W$1,$D31-1,0),MATCH(X$4,'Adverse (r-g)'!$D$10:$W$10,0))</f>
        <v>4.307982</v>
      </c>
      <c r="Y31" s="271"/>
    </row>
    <row r="32" spans="1:25" x14ac:dyDescent="0.2">
      <c r="A32" s="271"/>
      <c r="B32" s="339">
        <v>8</v>
      </c>
      <c r="C32" s="343" t="s">
        <v>95</v>
      </c>
      <c r="D32" s="344">
        <v>38</v>
      </c>
      <c r="E32" s="345" t="s">
        <v>227</v>
      </c>
      <c r="F32" s="332">
        <f ca="1">INDEX(OFFSET('Adverse (r-g)'!$D$1:$W$1,$D32-1,0),MATCH(F$4,'Adverse (r-g)'!$D$10:$W$10,0))</f>
        <v>3.43</v>
      </c>
      <c r="G32" s="332">
        <f ca="1">INDEX(OFFSET('Adverse (r-g)'!$D$1:$W$1,$D32-1,0),MATCH(G$4,'Adverse (r-g)'!$D$10:$W$10,0))</f>
        <v>3.5642079999999998</v>
      </c>
      <c r="H32" s="332">
        <f ca="1">INDEX(OFFSET('Adverse (r-g)'!$D$1:$W$1,$D32-1,0),MATCH(H$4,'Adverse (r-g)'!$D$10:$W$10,0))</f>
        <v>2.8163749999999999</v>
      </c>
      <c r="I32" s="332">
        <f ca="1">INDEX(OFFSET('Adverse (r-g)'!$D$1:$W$1,$D32-1,0),MATCH(I$4,'Adverse (r-g)'!$D$10:$W$10,0))</f>
        <v>2.8050893749999997</v>
      </c>
      <c r="J32" s="332">
        <f ca="1">INDEX(OFFSET('Adverse (r-g)'!$D$1:$W$1,$D32-1,0),MATCH(J$4,'Adverse (r-g)'!$D$10:$W$10,0))</f>
        <v>2.7938037499999999</v>
      </c>
      <c r="K32" s="332">
        <f ca="1">INDEX(OFFSET('Adverse (r-g)'!$D$1:$W$1,$D32-1,0),MATCH(K$4,'Adverse (r-g)'!$D$10:$W$10,0))</f>
        <v>2.7825181250000002</v>
      </c>
      <c r="L32" s="332">
        <f ca="1">INDEX(OFFSET('Adverse (r-g)'!$D$1:$W$1,$D32-1,0),MATCH(L$4,'Adverse (r-g)'!$D$10:$W$10,0))</f>
        <v>3.2712325</v>
      </c>
      <c r="M32" s="332">
        <f ca="1">INDEX(OFFSET('Adverse (r-g)'!$D$1:$W$1,$D32-1,0),MATCH(M$4,'Adverse (r-g)'!$D$10:$W$10,0))</f>
        <v>3.2599468749999998</v>
      </c>
      <c r="N32" s="332">
        <f ca="1">INDEX(OFFSET('Adverse (r-g)'!$D$1:$W$1,$D32-1,0),MATCH(N$4,'Adverse (r-g)'!$D$10:$W$10,0))</f>
        <v>3.2486612500000001</v>
      </c>
      <c r="O32" s="332">
        <f ca="1">INDEX(OFFSET('Adverse (r-g)'!$D$1:$W$1,$D32-1,0),MATCH(O$4,'Adverse (r-g)'!$D$10:$W$10,0))</f>
        <v>3.2373756250000003</v>
      </c>
      <c r="P32" s="332">
        <f ca="1">INDEX(OFFSET('Adverse (r-g)'!$D$1:$W$1,$D32-1,0),MATCH(P$4,'Adverse (r-g)'!$D$10:$W$10,0))</f>
        <v>3.2260900000000001</v>
      </c>
      <c r="Q32" s="332">
        <f ca="1">INDEX(OFFSET('Adverse (r-g)'!$D$1:$W$1,$D32-1,0),MATCH(Q$4,'Adverse (r-g)'!$D$10:$W$10,0))</f>
        <v>3.1897855000000002</v>
      </c>
      <c r="R32" s="332">
        <f ca="1">INDEX(OFFSET('Adverse (r-g)'!$D$1:$W$1,$D32-1,0),MATCH(R$4,'Adverse (r-g)'!$D$10:$W$10,0))</f>
        <v>3.1534810000000002</v>
      </c>
      <c r="S32" s="332">
        <f ca="1">INDEX(OFFSET('Adverse (r-g)'!$D$1:$W$1,$D32-1,0),MATCH(S$4,'Adverse (r-g)'!$D$10:$W$10,0))</f>
        <v>3.1171765000000002</v>
      </c>
      <c r="T32" s="332">
        <f ca="1">INDEX(OFFSET('Adverse (r-g)'!$D$1:$W$1,$D32-1,0),MATCH(T$4,'Adverse (r-g)'!$D$10:$W$10,0))</f>
        <v>3.0808720000000003</v>
      </c>
      <c r="U32" s="332">
        <f ca="1">INDEX(OFFSET('Adverse (r-g)'!$D$1:$W$1,$D32-1,0),MATCH(U$4,'Adverse (r-g)'!$D$10:$W$10,0))</f>
        <v>3.0445675000000003</v>
      </c>
      <c r="V32" s="332">
        <f ca="1">INDEX(OFFSET('Adverse (r-g)'!$D$1:$W$1,$D32-1,0),MATCH(V$4,'Adverse (r-g)'!$D$10:$W$10,0))</f>
        <v>3.0082629999999999</v>
      </c>
      <c r="W32" s="332">
        <f ca="1">INDEX(OFFSET('Adverse (r-g)'!$D$1:$W$1,$D32-1,0),MATCH(W$4,'Adverse (r-g)'!$D$10:$W$10,0))</f>
        <v>2.9719584999999999</v>
      </c>
      <c r="X32" s="332">
        <f ca="1">INDEX(OFFSET('Adverse (r-g)'!$D$1:$W$1,$D32-1,0),MATCH(X$4,'Adverse (r-g)'!$D$10:$W$10,0))</f>
        <v>2.935654</v>
      </c>
      <c r="Y32" s="271"/>
    </row>
    <row r="33" spans="1:25" x14ac:dyDescent="0.2">
      <c r="A33" s="271"/>
      <c r="B33" s="339">
        <v>9</v>
      </c>
      <c r="C33" s="335" t="s">
        <v>231</v>
      </c>
      <c r="D33" s="344">
        <v>23</v>
      </c>
      <c r="E33" s="345" t="s">
        <v>230</v>
      </c>
      <c r="F33" s="332">
        <f ca="1">INDEX(OFFSET('Adverse (r-g)'!$D$1:$W$1,$D33-1,0),MATCH(F$4,'Adverse (r-g)'!$D$10:$W$10,0))</f>
        <v>1.5868970000000093</v>
      </c>
      <c r="G33" s="332">
        <f ca="1">INDEX(OFFSET('Adverse (r-g)'!$D$1:$W$1,$D33-1,0),MATCH(G$4,'Adverse (r-g)'!$D$10:$W$10,0))</f>
        <v>2.3434570000000043</v>
      </c>
      <c r="H33" s="332">
        <f ca="1">INDEX(OFFSET('Adverse (r-g)'!$D$1:$W$1,$D33-1,0),MATCH(H$4,'Adverse (r-g)'!$D$10:$W$10,0))</f>
        <v>2.6849850000000064</v>
      </c>
      <c r="I33" s="332">
        <f ca="1">INDEX(OFFSET('Adverse (r-g)'!$D$1:$W$1,$D33-1,0),MATCH(I$4,'Adverse (r-g)'!$D$10:$W$10,0))</f>
        <v>1.8560361763048983</v>
      </c>
      <c r="J33" s="332">
        <f ca="1">INDEX(OFFSET('Adverse (r-g)'!$D$1:$W$1,$D33-1,0),MATCH(J$4,'Adverse (r-g)'!$D$10:$W$10,0))</f>
        <v>1.9263805590576721</v>
      </c>
      <c r="K33" s="332">
        <f ca="1">INDEX(OFFSET('Adverse (r-g)'!$D$1:$W$1,$D33-1,0),MATCH(K$4,'Adverse (r-g)'!$D$10:$W$10,0))</f>
        <v>2.0083915211622561</v>
      </c>
      <c r="L33" s="332">
        <f ca="1">INDEX(OFFSET('Adverse (r-g)'!$D$1:$W$1,$D33-1,0),MATCH(L$4,'Adverse (r-g)'!$D$10:$W$10,0))</f>
        <v>1.9481667470908626</v>
      </c>
      <c r="M33" s="332">
        <f ca="1">INDEX(OFFSET('Adverse (r-g)'!$D$1:$W$1,$D33-1,0),MATCH(M$4,'Adverse (r-g)'!$D$10:$W$10,0))</f>
        <v>1.9458413854953838</v>
      </c>
      <c r="N33" s="332">
        <f ca="1">INDEX(OFFSET('Adverse (r-g)'!$D$1:$W$1,$D33-1,0),MATCH(N$4,'Adverse (r-g)'!$D$10:$W$10,0))</f>
        <v>1.9235989418981969</v>
      </c>
      <c r="O33" s="332">
        <f ca="1">INDEX(OFFSET('Adverse (r-g)'!$D$1:$W$1,$D33-1,0),MATCH(O$4,'Adverse (r-g)'!$D$10:$W$10,0))</f>
        <v>1.7710120000000051</v>
      </c>
      <c r="P33" s="332">
        <f ca="1">INDEX(OFFSET('Adverse (r-g)'!$D$1:$W$1,$D33-1,0),MATCH(P$4,'Adverse (r-g)'!$D$10:$W$10,0))</f>
        <v>1.7812249999999974</v>
      </c>
      <c r="Q33" s="332">
        <f ca="1">INDEX(OFFSET('Adverse (r-g)'!$D$1:$W$1,$D33-1,0),MATCH(Q$4,'Adverse (r-g)'!$D$10:$W$10,0))</f>
        <v>1.6648189999999952</v>
      </c>
      <c r="R33" s="332">
        <f ca="1">INDEX(OFFSET('Adverse (r-g)'!$D$1:$W$1,$D33-1,0),MATCH(R$4,'Adverse (r-g)'!$D$10:$W$10,0))</f>
        <v>1.5484129999999929</v>
      </c>
      <c r="S33" s="332">
        <f ca="1">INDEX(OFFSET('Adverse (r-g)'!$D$1:$W$1,$D33-1,0),MATCH(S$4,'Adverse (r-g)'!$D$10:$W$10,0))</f>
        <v>1.4320040000000089</v>
      </c>
      <c r="T33" s="332">
        <f ca="1">INDEX(OFFSET('Adverse (r-g)'!$D$1:$W$1,$D33-1,0),MATCH(T$4,'Adverse (r-g)'!$D$10:$W$10,0))</f>
        <v>1.3762339999999984</v>
      </c>
      <c r="U33" s="332">
        <f ca="1">INDEX(OFFSET('Adverse (r-g)'!$D$1:$W$1,$D33-1,0),MATCH(U$4,'Adverse (r-g)'!$D$10:$W$10,0))</f>
        <v>1.2763089999999977</v>
      </c>
      <c r="V33" s="332">
        <f ca="1">INDEX(OFFSET('Adverse (r-g)'!$D$1:$W$1,$D33-1,0),MATCH(V$4,'Adverse (r-g)'!$D$10:$W$10,0))</f>
        <v>1.1656939999999949</v>
      </c>
      <c r="W33" s="332">
        <f ca="1">INDEX(OFFSET('Adverse (r-g)'!$D$1:$W$1,$D33-1,0),MATCH(W$4,'Adverse (r-g)'!$D$10:$W$10,0))</f>
        <v>1.0366370000000069</v>
      </c>
      <c r="X33" s="332">
        <f ca="1">INDEX(OFFSET('Adverse (r-g)'!$D$1:$W$1,$D33-1,0),MATCH(X$4,'Adverse (r-g)'!$D$10:$W$10,0))</f>
        <v>0.945693000000003</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2.9879659999999975</v>
      </c>
      <c r="G34" s="332">
        <f ca="1">(INDEX(OFFSET('Adverse (r-g)'!$D$1:$W$1,$D34-1,0),MATCH(G$4,'Adverse (r-g)'!$D$10:$W$10,0))/INDEX(OFFSET('Adverse (r-g)'!$D$1:$W$1,$D34-1,0),MATCH(F$4,'Adverse (r-g)'!$D$10:$W$10,0))-1)*100</f>
        <v>2.8587279999999993</v>
      </c>
      <c r="H34" s="332">
        <f ca="1">(INDEX(OFFSET('Adverse (r-g)'!$D$1:$W$1,$D34-1,0),MATCH(H$4,'Adverse (r-g)'!$D$10:$W$10,0))/INDEX(OFFSET('Adverse (r-g)'!$D$1:$W$1,$D34-1,0),MATCH(G$4,'Adverse (r-g)'!$D$10:$W$10,0))-1)*100</f>
        <v>2.8765240000000025</v>
      </c>
      <c r="I34" s="332">
        <f ca="1">(INDEX(OFFSET('Adverse (r-g)'!$D$1:$W$1,$D34-1,0),MATCH(I$4,'Adverse (r-g)'!$D$10:$W$10,0))/INDEX(OFFSET('Adverse (r-g)'!$D$1:$W$1,$D34-1,0),MATCH(H$4,'Adverse (r-g)'!$D$10:$W$10,0))-1)*100</f>
        <v>2.4897629999999893</v>
      </c>
      <c r="J34" s="332">
        <f ca="1">(INDEX(OFFSET('Adverse (r-g)'!$D$1:$W$1,$D34-1,0),MATCH(J$4,'Adverse (r-g)'!$D$10:$W$10,0))/INDEX(OFFSET('Adverse (r-g)'!$D$1:$W$1,$D34-1,0),MATCH(I$4,'Adverse (r-g)'!$D$10:$W$10,0))-1)*100</f>
        <v>2.3493130000000084</v>
      </c>
      <c r="K34" s="332">
        <f ca="1">(INDEX(OFFSET('Adverse (r-g)'!$D$1:$W$1,$D34-1,0),MATCH(K$4,'Adverse (r-g)'!$D$10:$W$10,0))/INDEX(OFFSET('Adverse (r-g)'!$D$1:$W$1,$D34-1,0),MATCH(J$4,'Adverse (r-g)'!$D$10:$W$10,0))-1)*100</f>
        <v>2.2901749999999943</v>
      </c>
      <c r="L34" s="332">
        <f ca="1">(INDEX(OFFSET('Adverse (r-g)'!$D$1:$W$1,$D34-1,0),MATCH(L$4,'Adverse (r-g)'!$D$10:$W$10,0))/INDEX(OFFSET('Adverse (r-g)'!$D$1:$W$1,$D34-1,0),MATCH(K$4,'Adverse (r-g)'!$D$10:$W$10,0))-1)*100</f>
        <v>1.8063040000000141</v>
      </c>
      <c r="M34" s="332">
        <f ca="1">(INDEX(OFFSET('Adverse (r-g)'!$D$1:$W$1,$D34-1,0),MATCH(M$4,'Adverse (r-g)'!$D$10:$W$10,0))/INDEX(OFFSET('Adverse (r-g)'!$D$1:$W$1,$D34-1,0),MATCH(L$4,'Adverse (r-g)'!$D$10:$W$10,0))-1)*100</f>
        <v>1.8041790000000058</v>
      </c>
      <c r="N34" s="332">
        <f ca="1">(INDEX(OFFSET('Adverse (r-g)'!$D$1:$W$1,$D34-1,0),MATCH(N$4,'Adverse (r-g)'!$D$10:$W$10,0))/INDEX(OFFSET('Adverse (r-g)'!$D$1:$W$1,$D34-1,0),MATCH(M$4,'Adverse (r-g)'!$D$10:$W$10,0))-1)*100</f>
        <v>1.7821640000000194</v>
      </c>
      <c r="O34" s="332">
        <f ca="1">(INDEX(OFFSET('Adverse (r-g)'!$D$1:$W$1,$D34-1,0),MATCH(O$4,'Adverse (r-g)'!$D$10:$W$10,0))/INDEX(OFFSET('Adverse (r-g)'!$D$1:$W$1,$D34-1,0),MATCH(N$4,'Adverse (r-g)'!$D$10:$W$10,0))-1)*100</f>
        <v>1.7710090000000012</v>
      </c>
      <c r="P34" s="332">
        <f ca="1">(INDEX(OFFSET('Adverse (r-g)'!$D$1:$W$1,$D34-1,0),MATCH(P$4,'Adverse (r-g)'!$D$10:$W$10,0))/INDEX(OFFSET('Adverse (r-g)'!$D$1:$W$1,$D34-1,0),MATCH(O$4,'Adverse (r-g)'!$D$10:$W$10,0))-1)*100</f>
        <v>1.7812250000000196</v>
      </c>
      <c r="Q34" s="332">
        <f ca="1">(INDEX(OFFSET('Adverse (r-g)'!$D$1:$W$1,$D34-1,0),MATCH(Q$4,'Adverse (r-g)'!$D$10:$W$10,0))/INDEX(OFFSET('Adverse (r-g)'!$D$1:$W$1,$D34-1,0),MATCH(P$4,'Adverse (r-g)'!$D$10:$W$10,0))-1)*100</f>
        <v>1.6648190000000174</v>
      </c>
      <c r="R34" s="332">
        <f ca="1">(INDEX(OFFSET('Adverse (r-g)'!$D$1:$W$1,$D34-1,0),MATCH(R$4,'Adverse (r-g)'!$D$10:$W$10,0))/INDEX(OFFSET('Adverse (r-g)'!$D$1:$W$1,$D34-1,0),MATCH(Q$4,'Adverse (r-g)'!$D$10:$W$10,0))-1)*100</f>
        <v>1.5484140000000091</v>
      </c>
      <c r="S34" s="332">
        <f ca="1">(INDEX(OFFSET('Adverse (r-g)'!$D$1:$W$1,$D34-1,0),MATCH(S$4,'Adverse (r-g)'!$D$10:$W$10,0))/INDEX(OFFSET('Adverse (r-g)'!$D$1:$W$1,$D34-1,0),MATCH(R$4,'Adverse (r-g)'!$D$10:$W$10,0))-1)*100</f>
        <v>1.4320080000000068</v>
      </c>
      <c r="T34" s="332">
        <f ca="1">(INDEX(OFFSET('Adverse (r-g)'!$D$1:$W$1,$D34-1,0),MATCH(T$4,'Adverse (r-g)'!$D$10:$W$10,0))/INDEX(OFFSET('Adverse (r-g)'!$D$1:$W$1,$D34-1,0),MATCH(S$4,'Adverse (r-g)'!$D$10:$W$10,0))-1)*100</f>
        <v>1.3762340000000206</v>
      </c>
      <c r="U34" s="332">
        <f ca="1">(INDEX(OFFSET('Adverse (r-g)'!$D$1:$W$1,$D34-1,0),MATCH(U$4,'Adverse (r-g)'!$D$10:$W$10,0))/INDEX(OFFSET('Adverse (r-g)'!$D$1:$W$1,$D34-1,0),MATCH(T$4,'Adverse (r-g)'!$D$10:$W$10,0))-1)*100</f>
        <v>1.2763110000000077</v>
      </c>
      <c r="V34" s="332">
        <f ca="1">(INDEX(OFFSET('Adverse (r-g)'!$D$1:$W$1,$D34-1,0),MATCH(V$4,'Adverse (r-g)'!$D$10:$W$10,0))/INDEX(OFFSET('Adverse (r-g)'!$D$1:$W$1,$D34-1,0),MATCH(U$4,'Adverse (r-g)'!$D$10:$W$10,0))-1)*100</f>
        <v>1.165696000000005</v>
      </c>
      <c r="W34" s="332">
        <f ca="1">(INDEX(OFFSET('Adverse (r-g)'!$D$1:$W$1,$D34-1,0),MATCH(W$4,'Adverse (r-g)'!$D$10:$W$10,0))/INDEX(OFFSET('Adverse (r-g)'!$D$1:$W$1,$D34-1,0),MATCH(V$4,'Adverse (r-g)'!$D$10:$W$10,0))-1)*100</f>
        <v>1.0366320000000151</v>
      </c>
      <c r="X34" s="332">
        <f ca="1">(INDEX(OFFSET('Adverse (r-g)'!$D$1:$W$1,$D34-1,0),MATCH(X$4,'Adverse (r-g)'!$D$10:$W$10,0))/INDEX(OFFSET('Adverse (r-g)'!$D$1:$W$1,$D34-1,0),MATCH(W$4,'Adverse (r-g)'!$D$10:$W$10,0))-1)*100</f>
        <v>0.94569800000001703</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71.594059041006318</v>
      </c>
      <c r="G36" s="362"/>
      <c r="H36" s="352">
        <f>INDEX(Stochastic!$C$11:$W$11,MATCH('Input data'!$C$6,Stochastic!$C$10:$W$10,0))</f>
        <v>61.733292809090869</v>
      </c>
      <c r="I36" s="353">
        <f ca="1">MATCH($H$36,OFFSET(Stochastic!$F$14:$F$18,0,'Input data'!$C$6-'Input data'!$C$5+5),1)</f>
        <v>4</v>
      </c>
      <c r="J36" s="353" t="str" cm="1">
        <f t="array" aca="1" ref="J36" ca="1">MID(INDEX(Stochastic!$B$14:$B$18,$I$36),2,2)</f>
        <v>70</v>
      </c>
      <c r="K36" s="352" cm="1">
        <f t="array" aca="1" ref="K36" ca="1">INDEX(OFFSET(Stochastic!$F$14:$F$18,0,'Input data'!$C$6-'Input data'!$C$5+5),$I$36)</f>
        <v>61.051483588926224</v>
      </c>
      <c r="L36" s="353" t="str" cm="1">
        <f t="array" aca="1" ref="L36" ca="1">MID(INDEX(Stochastic!$B$14:$B$18,$I$36+1),2,2)</f>
        <v>90</v>
      </c>
      <c r="M36" s="352" cm="1">
        <f t="array" aca="1" ref="M36" ca="1">INDEX(OFFSET(Stochastic!$F$14:$F$18,0,'Input data'!$C$6-'Input data'!$C$5+5),$I$36+1)</f>
        <v>69.605862098447716</v>
      </c>
      <c r="N36" s="352"/>
      <c r="O36" s="353">
        <f ca="1">IF(ISERROR($I$36),1,4)</f>
        <v>4</v>
      </c>
      <c r="P36" s="353">
        <f ca="1">IF(ISERROR($I$36),10,70)</f>
        <v>70</v>
      </c>
      <c r="Q36" s="352" cm="1">
        <f t="array" aca="1" ref="Q36" ca="1">INDEX(OFFSET(Stochastic!$F$14:$F$18,0,'Input data'!$C$6-'Input data'!$C$5+5),$O$36)</f>
        <v>61.051483588926224</v>
      </c>
      <c r="R36" s="353">
        <f ca="1">P36+20</f>
        <v>90</v>
      </c>
      <c r="S36" s="352" cm="1">
        <f t="array" aca="1" ref="S36" ca="1">INDEX(OFFSET(Stochastic!$F$14:$F$18,0,'Input data'!$C$6-'Input data'!$C$5+5),$O$36+1)</f>
        <v>69.605862098447716</v>
      </c>
      <c r="T36" s="357">
        <f ca="1">IF($I$36=5,20/(S36-Q36),IF(ISERROR($I$36),20/(S36-Q36),20/(M36-K36)))</f>
        <v>2.3379839900395925</v>
      </c>
      <c r="U36" s="109"/>
      <c r="V36" s="363" t="str">
        <f ca="1">IFERROR($J$36,10)</f>
        <v>70</v>
      </c>
      <c r="W36" s="364">
        <f ca="1">IF($V$36=10,$Q$36,$K$36)</f>
        <v>61.051483588926224</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69.219569977397526</v>
      </c>
      <c r="G41" s="332">
        <f ca="1">INDEX(OFFSET('Baseline NFPC'!$D$1:$W$1,$D41-1,0),MATCH(G$4,'Baseline NFPC'!$D$10:$W$10,0))</f>
        <v>68.073476569055501</v>
      </c>
      <c r="H41" s="332">
        <f ca="1">INDEX(OFFSET('Baseline NFPC'!$D$1:$W$1,$D41-1,0),MATCH(H$4,'Baseline NFPC'!$D$10:$W$10,0))</f>
        <v>66.689580514618598</v>
      </c>
      <c r="I41" s="332">
        <f ca="1">INDEX(OFFSET('Baseline NFPC'!$D$1:$W$1,$D41-1,0),MATCH(I$4,'Baseline NFPC'!$D$10:$W$10,0))</f>
        <v>66.122670223115591</v>
      </c>
      <c r="J41" s="332">
        <f ca="1">INDEX(OFFSET('Baseline NFPC'!$D$1:$W$1,$D41-1,0),MATCH(J$4,'Baseline NFPC'!$D$10:$W$10,0))</f>
        <v>66.267037308310904</v>
      </c>
      <c r="K41" s="332">
        <f ca="1">INDEX(OFFSET('Baseline NFPC'!$D$1:$W$1,$D41-1,0),MATCH(K$4,'Baseline NFPC'!$D$10:$W$10,0))</f>
        <v>66.702284532996515</v>
      </c>
      <c r="L41" s="332">
        <f ca="1">INDEX(OFFSET('Baseline NFPC'!$D$1:$W$1,$D41-1,0),MATCH(L$4,'Baseline NFPC'!$D$10:$W$10,0))</f>
        <v>67.209276732182715</v>
      </c>
      <c r="M41" s="332">
        <f ca="1">INDEX(OFFSET('Baseline NFPC'!$D$1:$W$1,$D41-1,0),MATCH(M$4,'Baseline NFPC'!$D$10:$W$10,0))</f>
        <v>67.967383742328664</v>
      </c>
      <c r="N41" s="332">
        <f ca="1">INDEX(OFFSET('Baseline NFPC'!$D$1:$W$1,$D41-1,0),MATCH(N$4,'Baseline NFPC'!$D$10:$W$10,0))</f>
        <v>68.976587687046333</v>
      </c>
      <c r="O41" s="332">
        <f ca="1">INDEX(OFFSET('Baseline NFPC'!$D$1:$W$1,$D41-1,0),MATCH(O$4,'Baseline NFPC'!$D$10:$W$10,0))</f>
        <v>70.21410962648298</v>
      </c>
      <c r="P41" s="332">
        <f ca="1">INDEX(OFFSET('Baseline NFPC'!$D$1:$W$1,$D41-1,0),MATCH(P$4,'Baseline NFPC'!$D$10:$W$10,0))</f>
        <v>71.707546182158737</v>
      </c>
      <c r="Q41" s="332">
        <f ca="1">INDEX(OFFSET('Baseline NFPC'!$D$1:$W$1,$D41-1,0),MATCH(Q$4,'Baseline NFPC'!$D$10:$W$10,0))</f>
        <v>73.461977285701394</v>
      </c>
      <c r="R41" s="332">
        <f ca="1">INDEX(OFFSET('Baseline NFPC'!$D$1:$W$1,$D41-1,0),MATCH(R$4,'Baseline NFPC'!$D$10:$W$10,0))</f>
        <v>75.524234675578782</v>
      </c>
      <c r="S41" s="332">
        <f ca="1">INDEX(OFFSET('Baseline NFPC'!$D$1:$W$1,$D41-1,0),MATCH(S$4,'Baseline NFPC'!$D$10:$W$10,0))</f>
        <v>77.867608558156135</v>
      </c>
      <c r="T41" s="332">
        <f ca="1">INDEX(OFFSET('Baseline NFPC'!$D$1:$W$1,$D41-1,0),MATCH(T$4,'Baseline NFPC'!$D$10:$W$10,0))</f>
        <v>80.425057320382379</v>
      </c>
      <c r="U41" s="332">
        <f ca="1">INDEX(OFFSET('Baseline NFPC'!$D$1:$W$1,$D41-1,0),MATCH(U$4,'Baseline NFPC'!$D$10:$W$10,0))</f>
        <v>83.27845487576505</v>
      </c>
      <c r="V41" s="332">
        <f ca="1">INDEX(OFFSET('Baseline NFPC'!$D$1:$W$1,$D41-1,0),MATCH(V$4,'Baseline NFPC'!$D$10:$W$10,0))</f>
        <v>86.464018194257534</v>
      </c>
      <c r="W41" s="332">
        <f ca="1">INDEX(OFFSET('Baseline NFPC'!$D$1:$W$1,$D41-1,0),MATCH(W$4,'Baseline NFPC'!$D$10:$W$10,0))</f>
        <v>89.94186510457169</v>
      </c>
      <c r="X41" s="332">
        <f ca="1">INDEX(OFFSET('Baseline NFPC'!$D$1:$W$1,$D41-1,0),MATCH(X$4,'Baseline NFPC'!$D$10:$W$10,0))</f>
        <v>93.686365197969195</v>
      </c>
      <c r="Y41" s="271"/>
    </row>
    <row r="42" spans="1:25" x14ac:dyDescent="0.2">
      <c r="A42" s="271"/>
      <c r="B42" s="339">
        <v>2</v>
      </c>
      <c r="C42" s="343" t="s">
        <v>222</v>
      </c>
      <c r="D42" s="344">
        <v>76</v>
      </c>
      <c r="E42" s="345" t="s">
        <v>221</v>
      </c>
      <c r="F42" s="332">
        <f ca="1">INDEX(OFFSET('Baseline NFPC'!$D$1:$W$1,$D42-1,0),MATCH(F$4,'Baseline NFPC'!$D$10:$W$10,0))</f>
        <v>-2.4592010955300201</v>
      </c>
      <c r="G42" s="332">
        <f ca="1">INDEX(OFFSET('Baseline NFPC'!$D$1:$W$1,$D42-1,0),MATCH(G$4,'Baseline NFPC'!$D$10:$W$10,0))</f>
        <v>-2.8026950252980232</v>
      </c>
      <c r="H42" s="332">
        <f ca="1">INDEX(OFFSET('Baseline NFPC'!$D$1:$W$1,$D42-1,0),MATCH(H$4,'Baseline NFPC'!$D$10:$W$10,0))</f>
        <v>-2.7089526283626437</v>
      </c>
      <c r="I42" s="332">
        <f ca="1">INDEX(OFFSET('Baseline NFPC'!$D$1:$W$1,$D42-1,0),MATCH(I$4,'Baseline NFPC'!$D$10:$W$10,0))</f>
        <v>-2.6376976556397209</v>
      </c>
      <c r="J42" s="332">
        <f ca="1">INDEX(OFFSET('Baseline NFPC'!$D$1:$W$1,$D42-1,0),MATCH(J$4,'Baseline NFPC'!$D$10:$W$10,0))</f>
        <v>-3.1174776332250511</v>
      </c>
      <c r="K42" s="332">
        <f ca="1">INDEX(OFFSET('Baseline NFPC'!$D$1:$W$1,$D42-1,0),MATCH(K$4,'Baseline NFPC'!$D$10:$W$10,0))</f>
        <v>-3.5167027160579125</v>
      </c>
      <c r="L42" s="332">
        <f ca="1">INDEX(OFFSET('Baseline NFPC'!$D$1:$W$1,$D42-1,0),MATCH(L$4,'Baseline NFPC'!$D$10:$W$10,0))</f>
        <v>-3.7591023304350379</v>
      </c>
      <c r="M42" s="332">
        <f ca="1">INDEX(OFFSET('Baseline NFPC'!$D$1:$W$1,$D42-1,0),MATCH(M$4,'Baseline NFPC'!$D$10:$W$10,0))</f>
        <v>-4.0016087533624507</v>
      </c>
      <c r="N42" s="332">
        <f ca="1">INDEX(OFFSET('Baseline NFPC'!$D$1:$W$1,$D42-1,0),MATCH(N$4,'Baseline NFPC'!$D$10:$W$10,0))</f>
        <v>-4.2429741786030313</v>
      </c>
      <c r="O42" s="332">
        <f ca="1">INDEX(OFFSET('Baseline NFPC'!$D$1:$W$1,$D42-1,0),MATCH(O$4,'Baseline NFPC'!$D$10:$W$10,0))</f>
        <v>-4.4792302556012249</v>
      </c>
      <c r="P42" s="332">
        <f ca="1">INDEX(OFFSET('Baseline NFPC'!$D$1:$W$1,$D42-1,0),MATCH(P$4,'Baseline NFPC'!$D$10:$W$10,0))</f>
        <v>-4.7664519008093915</v>
      </c>
      <c r="Q42" s="332">
        <f ca="1">INDEX(OFFSET('Baseline NFPC'!$D$1:$W$1,$D42-1,0),MATCH(Q$4,'Baseline NFPC'!$D$10:$W$10,0))</f>
        <v>-5.0008094060191617</v>
      </c>
      <c r="R42" s="332">
        <f ca="1">INDEX(OFFSET('Baseline NFPC'!$D$1:$W$1,$D42-1,0),MATCH(R$4,'Baseline NFPC'!$D$10:$W$10,0))</f>
        <v>-5.28921982916901</v>
      </c>
      <c r="S42" s="332">
        <f ca="1">INDEX(OFFSET('Baseline NFPC'!$D$1:$W$1,$D42-1,0),MATCH(S$4,'Baseline NFPC'!$D$10:$W$10,0))</f>
        <v>-5.5590623396334822</v>
      </c>
      <c r="T42" s="332">
        <f ca="1">INDEX(OFFSET('Baseline NFPC'!$D$1:$W$1,$D42-1,0),MATCH(T$4,'Baseline NFPC'!$D$10:$W$10,0))</f>
        <v>-5.8120774708556162</v>
      </c>
      <c r="U42" s="332">
        <f ca="1">INDEX(OFFSET('Baseline NFPC'!$D$1:$W$1,$D42-1,0),MATCH(U$4,'Baseline NFPC'!$D$10:$W$10,0))</f>
        <v>-6.1185445122575235</v>
      </c>
      <c r="V42" s="332">
        <f ca="1">INDEX(OFFSET('Baseline NFPC'!$D$1:$W$1,$D42-1,0),MATCH(V$4,'Baseline NFPC'!$D$10:$W$10,0))</f>
        <v>-6.4581403870607677</v>
      </c>
      <c r="W42" s="332">
        <f ca="1">INDEX(OFFSET('Baseline NFPC'!$D$1:$W$1,$D42-1,0),MATCH(W$4,'Baseline NFPC'!$D$10:$W$10,0))</f>
        <v>-6.7476805393764616</v>
      </c>
      <c r="X42" s="332">
        <f ca="1">INDEX(OFFSET('Baseline NFPC'!$D$1:$W$1,$D42-1,0),MATCH(X$4,'Baseline NFPC'!$D$10:$W$10,0))</f>
        <v>-7.0449970062607692</v>
      </c>
      <c r="Y42" s="271"/>
    </row>
    <row r="43" spans="1:25" x14ac:dyDescent="0.2">
      <c r="A43" s="271"/>
      <c r="B43" s="339">
        <v>3</v>
      </c>
      <c r="C43" s="343" t="s">
        <v>40</v>
      </c>
      <c r="D43" s="344">
        <v>12</v>
      </c>
      <c r="E43" s="345" t="s">
        <v>223</v>
      </c>
      <c r="F43" s="332">
        <f ca="1">INDEX(OFFSET('Baseline NFPC'!$D$1:$W$1,$D43-1,0),MATCH(F$4,'Baseline NFPC'!$D$10:$W$10,0))</f>
        <v>-1.555059</v>
      </c>
      <c r="G43" s="332">
        <f ca="1">INDEX(OFFSET('Baseline NFPC'!$D$1:$W$1,$D43-1,0),MATCH(G$4,'Baseline NFPC'!$D$10:$W$10,0))</f>
        <v>-1.244675</v>
      </c>
      <c r="H43" s="332">
        <f ca="1">INDEX(OFFSET('Baseline NFPC'!$D$1:$W$1,$D43-1,0),MATCH(H$4,'Baseline NFPC'!$D$10:$W$10,0))</f>
        <v>-1.244675</v>
      </c>
      <c r="I43" s="332">
        <f ca="1">INDEX(OFFSET('Baseline NFPC'!$D$1:$W$1,$D43-1,0),MATCH(I$4,'Baseline NFPC'!$D$10:$W$10,0))</f>
        <v>-1.244675</v>
      </c>
      <c r="J43" s="332">
        <f ca="1">INDEX(OFFSET('Baseline NFPC'!$D$1:$W$1,$D43-1,0),MATCH(J$4,'Baseline NFPC'!$D$10:$W$10,0))</f>
        <v>-1.244675</v>
      </c>
      <c r="K43" s="332">
        <f ca="1">INDEX(OFFSET('Baseline NFPC'!$D$1:$W$1,$D43-1,0),MATCH(K$4,'Baseline NFPC'!$D$10:$W$10,0))</f>
        <v>-1.244675</v>
      </c>
      <c r="L43" s="332">
        <f ca="1">INDEX(OFFSET('Baseline NFPC'!$D$1:$W$1,$D43-1,0),MATCH(L$4,'Baseline NFPC'!$D$10:$W$10,0))</f>
        <v>-1.244675</v>
      </c>
      <c r="M43" s="332">
        <f ca="1">INDEX(OFFSET('Baseline NFPC'!$D$1:$W$1,$D43-1,0),MATCH(M$4,'Baseline NFPC'!$D$10:$W$10,0))</f>
        <v>-1.244675</v>
      </c>
      <c r="N43" s="332">
        <f ca="1">INDEX(OFFSET('Baseline NFPC'!$D$1:$W$1,$D43-1,0),MATCH(N$4,'Baseline NFPC'!$D$10:$W$10,0))</f>
        <v>-1.244675</v>
      </c>
      <c r="O43" s="332">
        <f ca="1">INDEX(OFFSET('Baseline NFPC'!$D$1:$W$1,$D43-1,0),MATCH(O$4,'Baseline NFPC'!$D$10:$W$10,0))</f>
        <v>-1.244675</v>
      </c>
      <c r="P43" s="332">
        <f ca="1">INDEX(OFFSET('Baseline NFPC'!$D$1:$W$1,$D43-1,0),MATCH(P$4,'Baseline NFPC'!$D$10:$W$10,0))</f>
        <v>-1.244675</v>
      </c>
      <c r="Q43" s="332">
        <f ca="1">INDEX(OFFSET('Baseline NFPC'!$D$1:$W$1,$D43-1,0),MATCH(Q$4,'Baseline NFPC'!$D$10:$W$10,0))</f>
        <v>-1.244675</v>
      </c>
      <c r="R43" s="332">
        <f ca="1">INDEX(OFFSET('Baseline NFPC'!$D$1:$W$1,$D43-1,0),MATCH(R$4,'Baseline NFPC'!$D$10:$W$10,0))</f>
        <v>-1.244675</v>
      </c>
      <c r="S43" s="332">
        <f ca="1">INDEX(OFFSET('Baseline NFPC'!$D$1:$W$1,$D43-1,0),MATCH(S$4,'Baseline NFPC'!$D$10:$W$10,0))</f>
        <v>-1.244675</v>
      </c>
      <c r="T43" s="332">
        <f ca="1">INDEX(OFFSET('Baseline NFPC'!$D$1:$W$1,$D43-1,0),MATCH(T$4,'Baseline NFPC'!$D$10:$W$10,0))</f>
        <v>-1.244675</v>
      </c>
      <c r="U43" s="332">
        <f ca="1">INDEX(OFFSET('Baseline NFPC'!$D$1:$W$1,$D43-1,0),MATCH(U$4,'Baseline NFPC'!$D$10:$W$10,0))</f>
        <v>-1.244675</v>
      </c>
      <c r="V43" s="332">
        <f ca="1">INDEX(OFFSET('Baseline NFPC'!$D$1:$W$1,$D43-1,0),MATCH(V$4,'Baseline NFPC'!$D$10:$W$10,0))</f>
        <v>-1.244675</v>
      </c>
      <c r="W43" s="332">
        <f ca="1">INDEX(OFFSET('Baseline NFPC'!$D$1:$W$1,$D43-1,0),MATCH(W$4,'Baseline NFPC'!$D$10:$W$10,0))</f>
        <v>-1.244675</v>
      </c>
      <c r="X43" s="332">
        <f ca="1">INDEX(OFFSET('Baseline NFPC'!$D$1:$W$1,$D43-1,0),MATCH(X$4,'Baseline NFPC'!$D$10:$W$10,0))</f>
        <v>-1.244675</v>
      </c>
      <c r="Y43" s="271"/>
    </row>
    <row r="44" spans="1:25" x14ac:dyDescent="0.2">
      <c r="A44" s="271"/>
      <c r="B44" s="339">
        <v>4</v>
      </c>
      <c r="C44" s="343" t="s">
        <v>224</v>
      </c>
      <c r="D44" s="344">
        <v>61</v>
      </c>
      <c r="E44" s="345" t="s">
        <v>223</v>
      </c>
      <c r="F44" s="332">
        <f ca="1">INDEX(OFFSET('Baseline NFPC'!$D$1:$W$1,$D44-1,0),MATCH(F$4,'Baseline NFPC'!$D$10:$W$10,0))</f>
        <v>-0.74606702451390927</v>
      </c>
      <c r="G44" s="332">
        <f ca="1">INDEX(OFFSET('Baseline NFPC'!$D$1:$W$1,$D44-1,0),MATCH(G$4,'Baseline NFPC'!$D$10:$W$10,0))</f>
        <v>-0.50788490834203148</v>
      </c>
      <c r="H44" s="332">
        <f ca="1">INDEX(OFFSET('Baseline NFPC'!$D$1:$W$1,$D44-1,0),MATCH(H$4,'Baseline NFPC'!$D$10:$W$10,0))</f>
        <v>-0.57155635443690167</v>
      </c>
      <c r="I44" s="332">
        <f ca="1">INDEX(OFFSET('Baseline NFPC'!$D$1:$W$1,$D44-1,0),MATCH(I$4,'Baseline NFPC'!$D$10:$W$10,0))</f>
        <v>-0.38104035432608119</v>
      </c>
      <c r="J44" s="332">
        <f ca="1">INDEX(OFFSET('Baseline NFPC'!$D$1:$W$1,$D44-1,0),MATCH(J$4,'Baseline NFPC'!$D$10:$W$10,0))</f>
        <v>-0.12701196354737904</v>
      </c>
      <c r="K44" s="332">
        <f ca="1">INDEX(OFFSET('Baseline NFPC'!$D$1:$W$1,$D44-1,0),MATCH(K$4,'Baseline NFPC'!$D$10:$W$10,0))</f>
        <v>-3.2526706208457767E-6</v>
      </c>
      <c r="L44" s="332">
        <f ca="1">INDEX(OFFSET('Baseline NFPC'!$D$1:$W$1,$D44-1,0),MATCH(L$4,'Baseline NFPC'!$D$10:$W$10,0))</f>
        <v>-4.6250201612529913E-6</v>
      </c>
      <c r="M44" s="332">
        <f ca="1">INDEX(OFFSET('Baseline NFPC'!$D$1:$W$1,$D44-1,0),MATCH(M$4,'Baseline NFPC'!$D$10:$W$10,0))</f>
        <v>-3.7101014404683499E-6</v>
      </c>
      <c r="N44" s="332">
        <f ca="1">INDEX(OFFSET('Baseline NFPC'!$D$1:$W$1,$D44-1,0),MATCH(N$4,'Baseline NFPC'!$D$10:$W$10,0))</f>
        <v>-4.1676592569039886E-6</v>
      </c>
      <c r="O44" s="332">
        <f ca="1">INDEX(OFFSET('Baseline NFPC'!$D$1:$W$1,$D44-1,0),MATCH(O$4,'Baseline NFPC'!$D$10:$W$10,0))</f>
        <v>-5.5404824400362432E-6</v>
      </c>
      <c r="P44" s="332">
        <f ca="1">INDEX(OFFSET('Baseline NFPC'!$D$1:$W$1,$D44-1,0),MATCH(P$4,'Baseline NFPC'!$D$10:$W$10,0))</f>
        <v>-5.5404824400362432E-6</v>
      </c>
      <c r="Q44" s="332">
        <f ca="1">INDEX(OFFSET('Baseline NFPC'!$D$1:$W$1,$D44-1,0),MATCH(Q$4,'Baseline NFPC'!$D$10:$W$10,0))</f>
        <v>-5.5404824504279306E-6</v>
      </c>
      <c r="R44" s="332">
        <f ca="1">INDEX(OFFSET('Baseline NFPC'!$D$1:$W$1,$D44-1,0),MATCH(R$4,'Baseline NFPC'!$D$10:$W$10,0))</f>
        <v>-5.0818765387816715E-6</v>
      </c>
      <c r="S44" s="332">
        <f ca="1">INDEX(OFFSET('Baseline NFPC'!$D$1:$W$1,$D44-1,0),MATCH(S$4,'Baseline NFPC'!$D$10:$W$10,0))</f>
        <v>-3.2453580215197068E-6</v>
      </c>
      <c r="T44" s="332">
        <f ca="1">INDEX(OFFSET('Baseline NFPC'!$D$1:$W$1,$D44-1,0),MATCH(T$4,'Baseline NFPC'!$D$10:$W$10,0))</f>
        <v>-3.2453580215197068E-6</v>
      </c>
      <c r="U44" s="332">
        <f ca="1">INDEX(OFFSET('Baseline NFPC'!$D$1:$W$1,$D44-1,0),MATCH(U$4,'Baseline NFPC'!$D$10:$W$10,0))</f>
        <v>-2.3256940509419623E-6</v>
      </c>
      <c r="V44" s="332">
        <f ca="1">INDEX(OFFSET('Baseline NFPC'!$D$1:$W$1,$D44-1,0),MATCH(V$4,'Baseline NFPC'!$D$10:$W$10,0))</f>
        <v>-1.4050294855572077E-6</v>
      </c>
      <c r="W44" s="332">
        <f ca="1">INDEX(OFFSET('Baseline NFPC'!$D$1:$W$1,$D44-1,0),MATCH(W$4,'Baseline NFPC'!$D$10:$W$10,0))</f>
        <v>-3.7096165227623602E-6</v>
      </c>
      <c r="X44" s="332">
        <f ca="1">INDEX(OFFSET('Baseline NFPC'!$D$1:$W$1,$D44-1,0),MATCH(X$4,'Baseline NFPC'!$D$10:$W$10,0))</f>
        <v>-1.4029635661216845E-6</v>
      </c>
      <c r="Y44" s="271"/>
    </row>
    <row r="45" spans="1:25" x14ac:dyDescent="0.2">
      <c r="A45" s="271"/>
      <c r="B45" s="339">
        <v>5</v>
      </c>
      <c r="C45" s="343" t="s">
        <v>226</v>
      </c>
      <c r="D45" s="344">
        <v>67</v>
      </c>
      <c r="E45" s="345" t="s">
        <v>221</v>
      </c>
      <c r="F45" s="332">
        <f ca="1">INDEX(OFFSET('Baseline NFPC'!$D$1:$W$1,$D45-1,0),MATCH(F$4,'Baseline NFPC'!$D$10:$W$10,0))</f>
        <v>1.2444369200439294</v>
      </c>
      <c r="G45" s="332">
        <f ca="1">INDEX(OFFSET('Baseline NFPC'!$D$1:$W$1,$D45-1,0),MATCH(G$4,'Baseline NFPC'!$D$10:$W$10,0))</f>
        <v>1.4137507336400548</v>
      </c>
      <c r="H45" s="332">
        <f ca="1">INDEX(OFFSET('Baseline NFPC'!$D$1:$W$1,$D45-1,0),MATCH(H$4,'Baseline NFPC'!$D$10:$W$10,0))</f>
        <v>1.3974991827995444</v>
      </c>
      <c r="I45" s="332">
        <f ca="1">INDEX(OFFSET('Baseline NFPC'!$D$1:$W$1,$D45-1,0),MATCH(I$4,'Baseline NFPC'!$D$10:$W$10,0))</f>
        <v>1.4488378099658026</v>
      </c>
      <c r="J45" s="332">
        <f ca="1">INDEX(OFFSET('Baseline NFPC'!$D$1:$W$1,$D45-1,0),MATCH(J$4,'Baseline NFPC'!$D$10:$W$10,0))</f>
        <v>1.5049368967724253</v>
      </c>
      <c r="K45" s="332">
        <f ca="1">INDEX(OFFSET('Baseline NFPC'!$D$1:$W$1,$D45-1,0),MATCH(K$4,'Baseline NFPC'!$D$10:$W$10,0))</f>
        <v>1.5713807687285306</v>
      </c>
      <c r="L45" s="332">
        <f ca="1">INDEX(OFFSET('Baseline NFPC'!$D$1:$W$1,$D45-1,0),MATCH(L$4,'Baseline NFPC'!$D$10:$W$10,0))</f>
        <v>1.6440792554551937</v>
      </c>
      <c r="M45" s="332">
        <f ca="1">INDEX(OFFSET('Baseline NFPC'!$D$1:$W$1,$D45-1,0),MATCH(M$4,'Baseline NFPC'!$D$10:$W$10,0))</f>
        <v>1.7225421634638878</v>
      </c>
      <c r="N45" s="332">
        <f ca="1">INDEX(OFFSET('Baseline NFPC'!$D$1:$W$1,$D45-1,0),MATCH(N$4,'Baseline NFPC'!$D$10:$W$10,0))</f>
        <v>1.8073055462622838</v>
      </c>
      <c r="O45" s="332">
        <f ca="1">INDEX(OFFSET('Baseline NFPC'!$D$1:$W$1,$D45-1,0),MATCH(O$4,'Baseline NFPC'!$D$10:$W$10,0))</f>
        <v>1.8983304960836618</v>
      </c>
      <c r="P45" s="332">
        <f ca="1">INDEX(OFFSET('Baseline NFPC'!$D$1:$W$1,$D45-1,0),MATCH(P$4,'Baseline NFPC'!$D$10:$W$10,0))</f>
        <v>1.9952095412918287</v>
      </c>
      <c r="Q45" s="332">
        <f ca="1">INDEX(OFFSET('Baseline NFPC'!$D$1:$W$1,$D45-1,0),MATCH(Q$4,'Baseline NFPC'!$D$10:$W$10,0))</f>
        <v>2.0986245465016058</v>
      </c>
      <c r="R45" s="332">
        <f ca="1">INDEX(OFFSET('Baseline NFPC'!$D$1:$W$1,$D45-1,0),MATCH(R$4,'Baseline NFPC'!$D$10:$W$10,0))</f>
        <v>2.2070920110455465</v>
      </c>
      <c r="S45" s="332">
        <f ca="1">INDEX(OFFSET('Baseline NFPC'!$D$1:$W$1,$D45-1,0),MATCH(S$4,'Baseline NFPC'!$D$10:$W$10,0))</f>
        <v>2.3229600849915002</v>
      </c>
      <c r="T45" s="332">
        <f ca="1">INDEX(OFFSET('Baseline NFPC'!$D$1:$W$1,$D45-1,0),MATCH(T$4,'Baseline NFPC'!$D$10:$W$10,0))</f>
        <v>2.4444627162136352</v>
      </c>
      <c r="U45" s="332">
        <f ca="1">INDEX(OFFSET('Baseline NFPC'!$D$1:$W$1,$D45-1,0),MATCH(U$4,'Baseline NFPC'!$D$10:$W$10,0))</f>
        <v>2.5723662379515693</v>
      </c>
      <c r="V45" s="332">
        <f ca="1">INDEX(OFFSET('Baseline NFPC'!$D$1:$W$1,$D45-1,0),MATCH(V$4,'Baseline NFPC'!$D$10:$W$10,0))</f>
        <v>2.7092086920902494</v>
      </c>
      <c r="W45" s="332">
        <f ca="1">INDEX(OFFSET('Baseline NFPC'!$D$1:$W$1,$D45-1,0),MATCH(W$4,'Baseline NFPC'!$D$10:$W$10,0))</f>
        <v>2.8569986489929819</v>
      </c>
      <c r="X45" s="332">
        <f ca="1">INDEX(OFFSET('Baseline NFPC'!$D$1:$W$1,$D45-1,0),MATCH(X$4,'Baseline NFPC'!$D$10:$W$10,0))</f>
        <v>3.0131002092243317</v>
      </c>
      <c r="Y45" s="271"/>
    </row>
    <row r="46" spans="1:25" x14ac:dyDescent="0.2">
      <c r="A46" s="271"/>
      <c r="B46" s="339">
        <v>6</v>
      </c>
      <c r="C46" s="346" t="s">
        <v>94</v>
      </c>
      <c r="D46" s="344">
        <v>36</v>
      </c>
      <c r="E46" s="345" t="s">
        <v>227</v>
      </c>
      <c r="F46" s="332">
        <f ca="1">INDEX(OFFSET('Baseline NFPC'!$D$1:$W$1,$D46-1,0),MATCH(F$4,'Baseline NFPC'!$D$10:$W$10,0))</f>
        <v>3.4</v>
      </c>
      <c r="G46" s="332">
        <f ca="1">INDEX(OFFSET('Baseline NFPC'!$D$1:$W$1,$D46-1,0),MATCH(G$4,'Baseline NFPC'!$D$10:$W$10,0))</f>
        <v>3.2130990000000001</v>
      </c>
      <c r="H46" s="332">
        <f ca="1">INDEX(OFFSET('Baseline NFPC'!$D$1:$W$1,$D46-1,0),MATCH(H$4,'Baseline NFPC'!$D$10:$W$10,0))</f>
        <v>3.2666849999999998</v>
      </c>
      <c r="I46" s="332">
        <f ca="1">INDEX(OFFSET('Baseline NFPC'!$D$1:$W$1,$D46-1,0),MATCH(I$4,'Baseline NFPC'!$D$10:$W$10,0))</f>
        <v>3.3183456250000001</v>
      </c>
      <c r="J46" s="332">
        <f ca="1">INDEX(OFFSET('Baseline NFPC'!$D$1:$W$1,$D46-1,0),MATCH(J$4,'Baseline NFPC'!$D$10:$W$10,0))</f>
        <v>3.3700062500000003</v>
      </c>
      <c r="K46" s="332">
        <f ca="1">INDEX(OFFSET('Baseline NFPC'!$D$1:$W$1,$D46-1,0),MATCH(K$4,'Baseline NFPC'!$D$10:$W$10,0))</f>
        <v>3.4216668750000006</v>
      </c>
      <c r="L46" s="332">
        <f ca="1">INDEX(OFFSET('Baseline NFPC'!$D$1:$W$1,$D46-1,0),MATCH(L$4,'Baseline NFPC'!$D$10:$W$10,0))</f>
        <v>3.4733275000000008</v>
      </c>
      <c r="M46" s="332">
        <f ca="1">INDEX(OFFSET('Baseline NFPC'!$D$1:$W$1,$D46-1,0),MATCH(M$4,'Baseline NFPC'!$D$10:$W$10,0))</f>
        <v>3.524988125000001</v>
      </c>
      <c r="N46" s="332">
        <f ca="1">INDEX(OFFSET('Baseline NFPC'!$D$1:$W$1,$D46-1,0),MATCH(N$4,'Baseline NFPC'!$D$10:$W$10,0))</f>
        <v>3.5766487500000013</v>
      </c>
      <c r="O46" s="332">
        <f ca="1">INDEX(OFFSET('Baseline NFPC'!$D$1:$W$1,$D46-1,0),MATCH(O$4,'Baseline NFPC'!$D$10:$W$10,0))</f>
        <v>3.6283093750000015</v>
      </c>
      <c r="P46" s="332">
        <f ca="1">INDEX(OFFSET('Baseline NFPC'!$D$1:$W$1,$D46-1,0),MATCH(P$4,'Baseline NFPC'!$D$10:$W$10,0))</f>
        <v>3.67997</v>
      </c>
      <c r="Q46" s="332">
        <f ca="1">INDEX(OFFSET('Baseline NFPC'!$D$1:$W$1,$D46-1,0),MATCH(Q$4,'Baseline NFPC'!$D$10:$W$10,0))</f>
        <v>3.6959714999999997</v>
      </c>
      <c r="R46" s="332">
        <f ca="1">INDEX(OFFSET('Baseline NFPC'!$D$1:$W$1,$D46-1,0),MATCH(R$4,'Baseline NFPC'!$D$10:$W$10,0))</f>
        <v>3.711973</v>
      </c>
      <c r="S46" s="332">
        <f ca="1">INDEX(OFFSET('Baseline NFPC'!$D$1:$W$1,$D46-1,0),MATCH(S$4,'Baseline NFPC'!$D$10:$W$10,0))</f>
        <v>3.7279745000000002</v>
      </c>
      <c r="T46" s="332">
        <f ca="1">INDEX(OFFSET('Baseline NFPC'!$D$1:$W$1,$D46-1,0),MATCH(T$4,'Baseline NFPC'!$D$10:$W$10,0))</f>
        <v>3.743976</v>
      </c>
      <c r="U46" s="332">
        <f ca="1">INDEX(OFFSET('Baseline NFPC'!$D$1:$W$1,$D46-1,0),MATCH(U$4,'Baseline NFPC'!$D$10:$W$10,0))</f>
        <v>3.7599774999999998</v>
      </c>
      <c r="V46" s="332">
        <f ca="1">INDEX(OFFSET('Baseline NFPC'!$D$1:$W$1,$D46-1,0),MATCH(V$4,'Baseline NFPC'!$D$10:$W$10,0))</f>
        <v>3.775979</v>
      </c>
      <c r="W46" s="332">
        <f ca="1">INDEX(OFFSET('Baseline NFPC'!$D$1:$W$1,$D46-1,0),MATCH(W$4,'Baseline NFPC'!$D$10:$W$10,0))</f>
        <v>3.7919805000000002</v>
      </c>
      <c r="X46" s="332">
        <f ca="1">INDEX(OFFSET('Baseline NFPC'!$D$1:$W$1,$D46-1,0),MATCH(X$4,'Baseline NFPC'!$D$10:$W$10,0))</f>
        <v>3.807982</v>
      </c>
      <c r="Y46" s="271"/>
    </row>
    <row r="47" spans="1:25" x14ac:dyDescent="0.2">
      <c r="A47" s="271"/>
      <c r="B47" s="339">
        <v>7</v>
      </c>
      <c r="C47" s="346" t="s">
        <v>95</v>
      </c>
      <c r="D47" s="344">
        <v>37</v>
      </c>
      <c r="E47" s="345" t="s">
        <v>227</v>
      </c>
      <c r="F47" s="332">
        <f ca="1">INDEX(OFFSET('Baseline NFPC'!$D$1:$W$1,$D47-1,0),MATCH(F$4,'Baseline NFPC'!$D$10:$W$10,0))</f>
        <v>3.43</v>
      </c>
      <c r="G47" s="332">
        <f ca="1">INDEX(OFFSET('Baseline NFPC'!$D$1:$W$1,$D47-1,0),MATCH(G$4,'Baseline NFPC'!$D$10:$W$10,0))</f>
        <v>3.5642079999999998</v>
      </c>
      <c r="H47" s="332">
        <f ca="1">INDEX(OFFSET('Baseline NFPC'!$D$1:$W$1,$D47-1,0),MATCH(H$4,'Baseline NFPC'!$D$10:$W$10,0))</f>
        <v>2.8163749999999999</v>
      </c>
      <c r="I47" s="332">
        <f ca="1">INDEX(OFFSET('Baseline NFPC'!$D$1:$W$1,$D47-1,0),MATCH(I$4,'Baseline NFPC'!$D$10:$W$10,0))</f>
        <v>2.8050893749999997</v>
      </c>
      <c r="J47" s="332">
        <f ca="1">INDEX(OFFSET('Baseline NFPC'!$D$1:$W$1,$D47-1,0),MATCH(J$4,'Baseline NFPC'!$D$10:$W$10,0))</f>
        <v>2.7938037499999995</v>
      </c>
      <c r="K47" s="332">
        <f ca="1">INDEX(OFFSET('Baseline NFPC'!$D$1:$W$1,$D47-1,0),MATCH(K$4,'Baseline NFPC'!$D$10:$W$10,0))</f>
        <v>2.7825181249999993</v>
      </c>
      <c r="L47" s="332">
        <f ca="1">INDEX(OFFSET('Baseline NFPC'!$D$1:$W$1,$D47-1,0),MATCH(L$4,'Baseline NFPC'!$D$10:$W$10,0))</f>
        <v>2.7712324999999991</v>
      </c>
      <c r="M47" s="332">
        <f ca="1">INDEX(OFFSET('Baseline NFPC'!$D$1:$W$1,$D47-1,0),MATCH(M$4,'Baseline NFPC'!$D$10:$W$10,0))</f>
        <v>2.7599468749999989</v>
      </c>
      <c r="N47" s="332">
        <f ca="1">INDEX(OFFSET('Baseline NFPC'!$D$1:$W$1,$D47-1,0),MATCH(N$4,'Baseline NFPC'!$D$10:$W$10,0))</f>
        <v>2.7486612499999987</v>
      </c>
      <c r="O47" s="332">
        <f ca="1">INDEX(OFFSET('Baseline NFPC'!$D$1:$W$1,$D47-1,0),MATCH(O$4,'Baseline NFPC'!$D$10:$W$10,0))</f>
        <v>2.7373756249999985</v>
      </c>
      <c r="P47" s="332">
        <f ca="1">INDEX(OFFSET('Baseline NFPC'!$D$1:$W$1,$D47-1,0),MATCH(P$4,'Baseline NFPC'!$D$10:$W$10,0))</f>
        <v>2.7260900000000001</v>
      </c>
      <c r="Q47" s="332">
        <f ca="1">INDEX(OFFSET('Baseline NFPC'!$D$1:$W$1,$D47-1,0),MATCH(Q$4,'Baseline NFPC'!$D$10:$W$10,0))</f>
        <v>2.6897855000000002</v>
      </c>
      <c r="R47" s="332">
        <f ca="1">INDEX(OFFSET('Baseline NFPC'!$D$1:$W$1,$D47-1,0),MATCH(R$4,'Baseline NFPC'!$D$10:$W$10,0))</f>
        <v>2.6534810000000002</v>
      </c>
      <c r="S47" s="332">
        <f ca="1">INDEX(OFFSET('Baseline NFPC'!$D$1:$W$1,$D47-1,0),MATCH(S$4,'Baseline NFPC'!$D$10:$W$10,0))</f>
        <v>2.6171765000000002</v>
      </c>
      <c r="T47" s="332">
        <f ca="1">INDEX(OFFSET('Baseline NFPC'!$D$1:$W$1,$D47-1,0),MATCH(T$4,'Baseline NFPC'!$D$10:$W$10,0))</f>
        <v>2.5808720000000003</v>
      </c>
      <c r="U47" s="332">
        <f ca="1">INDEX(OFFSET('Baseline NFPC'!$D$1:$W$1,$D47-1,0),MATCH(U$4,'Baseline NFPC'!$D$10:$W$10,0))</f>
        <v>2.5445675000000003</v>
      </c>
      <c r="V47" s="332">
        <f ca="1">INDEX(OFFSET('Baseline NFPC'!$D$1:$W$1,$D47-1,0),MATCH(V$4,'Baseline NFPC'!$D$10:$W$10,0))</f>
        <v>2.5082629999999999</v>
      </c>
      <c r="W47" s="332">
        <f ca="1">INDEX(OFFSET('Baseline NFPC'!$D$1:$W$1,$D47-1,0),MATCH(W$4,'Baseline NFPC'!$D$10:$W$10,0))</f>
        <v>2.4719584999999999</v>
      </c>
      <c r="X47" s="332">
        <f ca="1">INDEX(OFFSET('Baseline NFPC'!$D$1:$W$1,$D47-1,0),MATCH(X$4,'Baseline NFPC'!$D$10:$W$10,0))</f>
        <v>2.435654</v>
      </c>
      <c r="Y47" s="271"/>
    </row>
    <row r="48" spans="1:25" x14ac:dyDescent="0.2">
      <c r="A48" s="271"/>
      <c r="B48" s="339">
        <v>8</v>
      </c>
      <c r="C48" s="343" t="s">
        <v>228</v>
      </c>
      <c r="D48" s="344">
        <v>35</v>
      </c>
      <c r="E48" s="345" t="s">
        <v>227</v>
      </c>
      <c r="F48" s="332">
        <f ca="1">INDEX(OFFSET('Baseline NFPC'!$D$1:$W$1,$D48-1,0),MATCH(F$4,'Baseline NFPC'!$D$10:$W$10,0))</f>
        <v>1.8992169999999999</v>
      </c>
      <c r="G48" s="332">
        <f ca="1">INDEX(OFFSET('Baseline NFPC'!$D$1:$W$1,$D48-1,0),MATCH(G$4,'Baseline NFPC'!$D$10:$W$10,0))</f>
        <v>2.1593610000000001</v>
      </c>
      <c r="H48" s="332">
        <f ca="1">INDEX(OFFSET('Baseline NFPC'!$D$1:$W$1,$D48-1,0),MATCH(H$4,'Baseline NFPC'!$D$10:$W$10,0))</f>
        <v>2.1774469999999999</v>
      </c>
      <c r="I48" s="332">
        <f ca="1">INDEX(OFFSET('Baseline NFPC'!$D$1:$W$1,$D48-1,0),MATCH(I$4,'Baseline NFPC'!$D$10:$W$10,0))</f>
        <v>2.2821744286427554</v>
      </c>
      <c r="J48" s="332">
        <f ca="1">INDEX(OFFSET('Baseline NFPC'!$D$1:$W$1,$D48-1,0),MATCH(J$4,'Baseline NFPC'!$D$10:$W$10,0))</f>
        <v>2.3831312593714915</v>
      </c>
      <c r="K48" s="332">
        <f ca="1">INDEX(OFFSET('Baseline NFPC'!$D$1:$W$1,$D48-1,0),MATCH(K$4,'Baseline NFPC'!$D$10:$W$10,0))</f>
        <v>2.4869293334690474</v>
      </c>
      <c r="L48" s="332">
        <f ca="1">INDEX(OFFSET('Baseline NFPC'!$D$1:$W$1,$D48-1,0),MATCH(L$4,'Baseline NFPC'!$D$10:$W$10,0))</f>
        <v>2.5911343364407031</v>
      </c>
      <c r="M48" s="332">
        <f ca="1">INDEX(OFFSET('Baseline NFPC'!$D$1:$W$1,$D48-1,0),MATCH(M$4,'Baseline NFPC'!$D$10:$W$10,0))</f>
        <v>2.6929122077564425</v>
      </c>
      <c r="N48" s="332">
        <f ca="1">INDEX(OFFSET('Baseline NFPC'!$D$1:$W$1,$D48-1,0),MATCH(N$4,'Baseline NFPC'!$D$10:$W$10,0))</f>
        <v>2.7919120350458329</v>
      </c>
      <c r="O48" s="332">
        <f ca="1">INDEX(OFFSET('Baseline NFPC'!$D$1:$W$1,$D48-1,0),MATCH(O$4,'Baseline NFPC'!$D$10:$W$10,0))</f>
        <v>2.8878587962002942</v>
      </c>
      <c r="P48" s="332">
        <f ca="1">INDEX(OFFSET('Baseline NFPC'!$D$1:$W$1,$D48-1,0),MATCH(P$4,'Baseline NFPC'!$D$10:$W$10,0))</f>
        <v>2.9805451534838743</v>
      </c>
      <c r="Q48" s="332">
        <f ca="1">INDEX(OFFSET('Baseline NFPC'!$D$1:$W$1,$D48-1,0),MATCH(Q$4,'Baseline NFPC'!$D$10:$W$10,0))</f>
        <v>3.0654232340731533</v>
      </c>
      <c r="R48" s="332">
        <f ca="1">INDEX(OFFSET('Baseline NFPC'!$D$1:$W$1,$D48-1,0),MATCH(R$4,'Baseline NFPC'!$D$10:$W$10,0))</f>
        <v>3.142438306408883</v>
      </c>
      <c r="S48" s="332">
        <f ca="1">INDEX(OFFSET('Baseline NFPC'!$D$1:$W$1,$D48-1,0),MATCH(S$4,'Baseline NFPC'!$D$10:$W$10,0))</f>
        <v>3.2125664343621496</v>
      </c>
      <c r="T48" s="332">
        <f ca="1">INDEX(OFFSET('Baseline NFPC'!$D$1:$W$1,$D48-1,0),MATCH(T$4,'Baseline NFPC'!$D$10:$W$10,0))</f>
        <v>3.2761896403861943</v>
      </c>
      <c r="U48" s="332">
        <f ca="1">INDEX(OFFSET('Baseline NFPC'!$D$1:$W$1,$D48-1,0),MATCH(U$4,'Baseline NFPC'!$D$10:$W$10,0))</f>
        <v>3.3338118536334638</v>
      </c>
      <c r="V48" s="332">
        <f ca="1">INDEX(OFFSET('Baseline NFPC'!$D$1:$W$1,$D48-1,0),MATCH(V$4,'Baseline NFPC'!$D$10:$W$10,0))</f>
        <v>3.3862620676684179</v>
      </c>
      <c r="W48" s="332">
        <f ca="1">INDEX(OFFSET('Baseline NFPC'!$D$1:$W$1,$D48-1,0),MATCH(W$4,'Baseline NFPC'!$D$10:$W$10,0))</f>
        <v>3.4341326427138559</v>
      </c>
      <c r="X48" s="332">
        <f ca="1">INDEX(OFFSET('Baseline NFPC'!$D$1:$W$1,$D48-1,0),MATCH(X$4,'Baseline NFPC'!$D$10:$W$10,0))</f>
        <v>3.4776692382758161</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2.9879659999999975</v>
      </c>
      <c r="G49" s="332">
        <f ca="1">(INDEX(OFFSET('Baseline NFPC'!$D$1:$W$1,$D49-1,0),MATCH(G$4,'Baseline NFPC'!$D$10:$W$10,0))/INDEX(OFFSET('Baseline NFPC'!$D$1:$W$1,$D49-1,0),MATCH(F$4,'Baseline NFPC'!$D$10:$W$10,0))-1)*100</f>
        <v>2.8587279999999993</v>
      </c>
      <c r="H49" s="332">
        <f ca="1">(INDEX(OFFSET('Baseline NFPC'!$D$1:$W$1,$D49-1,0),MATCH(H$4,'Baseline NFPC'!$D$10:$W$10,0))/INDEX(OFFSET('Baseline NFPC'!$D$1:$W$1,$D49-1,0),MATCH(G$4,'Baseline NFPC'!$D$10:$W$10,0))-1)*100</f>
        <v>2.8765240000000025</v>
      </c>
      <c r="I49" s="332">
        <f ca="1">(INDEX(OFFSET('Baseline NFPC'!$D$1:$W$1,$D49-1,0),MATCH(I$4,'Baseline NFPC'!$D$10:$W$10,0))/INDEX(OFFSET('Baseline NFPC'!$D$1:$W$1,$D49-1,0),MATCH(H$4,'Baseline NFPC'!$D$10:$W$10,0))-1)*100</f>
        <v>2.4897629999999893</v>
      </c>
      <c r="J49" s="332">
        <f ca="1">(INDEX(OFFSET('Baseline NFPC'!$D$1:$W$1,$D49-1,0),MATCH(J$4,'Baseline NFPC'!$D$10:$W$10,0))/INDEX(OFFSET('Baseline NFPC'!$D$1:$W$1,$D49-1,0),MATCH(I$4,'Baseline NFPC'!$D$10:$W$10,0))-1)*100</f>
        <v>2.3493130000000084</v>
      </c>
      <c r="K49" s="332">
        <f ca="1">(INDEX(OFFSET('Baseline NFPC'!$D$1:$W$1,$D49-1,0),MATCH(K$4,'Baseline NFPC'!$D$10:$W$10,0))/INDEX(OFFSET('Baseline NFPC'!$D$1:$W$1,$D49-1,0),MATCH(J$4,'Baseline NFPC'!$D$10:$W$10,0))-1)*100</f>
        <v>2.2901749999999943</v>
      </c>
      <c r="L49" s="332">
        <f ca="1">(INDEX(OFFSET('Baseline NFPC'!$D$1:$W$1,$D49-1,0),MATCH(L$4,'Baseline NFPC'!$D$10:$W$10,0))/INDEX(OFFSET('Baseline NFPC'!$D$1:$W$1,$D49-1,0),MATCH(K$4,'Baseline NFPC'!$D$10:$W$10,0))-1)*100</f>
        <v>2.3063040000000035</v>
      </c>
      <c r="M49" s="332">
        <f ca="1">(INDEX(OFFSET('Baseline NFPC'!$D$1:$W$1,$D49-1,0),MATCH(M$4,'Baseline NFPC'!$D$10:$W$10,0))/INDEX(OFFSET('Baseline NFPC'!$D$1:$W$1,$D49-1,0),MATCH(L$4,'Baseline NFPC'!$D$10:$W$10,0))-1)*100</f>
        <v>2.3041789999999951</v>
      </c>
      <c r="N49" s="332">
        <f ca="1">(INDEX(OFFSET('Baseline NFPC'!$D$1:$W$1,$D49-1,0),MATCH(N$4,'Baseline NFPC'!$D$10:$W$10,0))/INDEX(OFFSET('Baseline NFPC'!$D$1:$W$1,$D49-1,0),MATCH(M$4,'Baseline NFPC'!$D$10:$W$10,0))-1)*100</f>
        <v>2.2821640000000087</v>
      </c>
      <c r="O49" s="332">
        <f ca="1">(INDEX(OFFSET('Baseline NFPC'!$D$1:$W$1,$D49-1,0),MATCH(O$4,'Baseline NFPC'!$D$10:$W$10,0))/INDEX(OFFSET('Baseline NFPC'!$D$1:$W$1,$D49-1,0),MATCH(N$4,'Baseline NFPC'!$D$10:$W$10,0))-1)*100</f>
        <v>2.2710089999999905</v>
      </c>
      <c r="P49" s="332">
        <f ca="1">(INDEX(OFFSET('Baseline NFPC'!$D$1:$W$1,$D49-1,0),MATCH(P$4,'Baseline NFPC'!$D$10:$W$10,0))/INDEX(OFFSET('Baseline NFPC'!$D$1:$W$1,$D49-1,0),MATCH(O$4,'Baseline NFPC'!$D$10:$W$10,0))-1)*100</f>
        <v>2.2812250000000089</v>
      </c>
      <c r="Q49" s="332">
        <f ca="1">(INDEX(OFFSET('Baseline NFPC'!$D$1:$W$1,$D49-1,0),MATCH(Q$4,'Baseline NFPC'!$D$10:$W$10,0))/INDEX(OFFSET('Baseline NFPC'!$D$1:$W$1,$D49-1,0),MATCH(P$4,'Baseline NFPC'!$D$10:$W$10,0))-1)*100</f>
        <v>2.1648190000000067</v>
      </c>
      <c r="R49" s="332">
        <f ca="1">(INDEX(OFFSET('Baseline NFPC'!$D$1:$W$1,$D49-1,0),MATCH(R$4,'Baseline NFPC'!$D$10:$W$10,0))/INDEX(OFFSET('Baseline NFPC'!$D$1:$W$1,$D49-1,0),MATCH(Q$4,'Baseline NFPC'!$D$10:$W$10,0))-1)*100</f>
        <v>2.0484139999999984</v>
      </c>
      <c r="S49" s="332">
        <f ca="1">(INDEX(OFFSET('Baseline NFPC'!$D$1:$W$1,$D49-1,0),MATCH(S$4,'Baseline NFPC'!$D$10:$W$10,0))/INDEX(OFFSET('Baseline NFPC'!$D$1:$W$1,$D49-1,0),MATCH(R$4,'Baseline NFPC'!$D$10:$W$10,0))-1)*100</f>
        <v>1.9320079999999962</v>
      </c>
      <c r="T49" s="332">
        <f ca="1">(INDEX(OFFSET('Baseline NFPC'!$D$1:$W$1,$D49-1,0),MATCH(T$4,'Baseline NFPC'!$D$10:$W$10,0))/INDEX(OFFSET('Baseline NFPC'!$D$1:$W$1,$D49-1,0),MATCH(S$4,'Baseline NFPC'!$D$10:$W$10,0))-1)*100</f>
        <v>1.8762340000000099</v>
      </c>
      <c r="U49" s="332">
        <f ca="1">(INDEX(OFFSET('Baseline NFPC'!$D$1:$W$1,$D49-1,0),MATCH(U$4,'Baseline NFPC'!$D$10:$W$10,0))/INDEX(OFFSET('Baseline NFPC'!$D$1:$W$1,$D49-1,0),MATCH(T$4,'Baseline NFPC'!$D$10:$W$10,0))-1)*100</f>
        <v>1.7763109999999971</v>
      </c>
      <c r="V49" s="332">
        <f ca="1">(INDEX(OFFSET('Baseline NFPC'!$D$1:$W$1,$D49-1,0),MATCH(V$4,'Baseline NFPC'!$D$10:$W$10,0))/INDEX(OFFSET('Baseline NFPC'!$D$1:$W$1,$D49-1,0),MATCH(U$4,'Baseline NFPC'!$D$10:$W$10,0))-1)*100</f>
        <v>1.6656959999999943</v>
      </c>
      <c r="W49" s="332">
        <f ca="1">(INDEX(OFFSET('Baseline NFPC'!$D$1:$W$1,$D49-1,0),MATCH(W$4,'Baseline NFPC'!$D$10:$W$10,0))/INDEX(OFFSET('Baseline NFPC'!$D$1:$W$1,$D49-1,0),MATCH(V$4,'Baseline NFPC'!$D$10:$W$10,0))-1)*100</f>
        <v>1.5366320000000044</v>
      </c>
      <c r="X49" s="332">
        <f ca="1">(INDEX(OFFSET('Baseline NFPC'!$D$1:$W$1,$D49-1,0),MATCH(X$4,'Baseline NFPC'!$D$10:$W$10,0))/INDEX(OFFSET('Baseline NFPC'!$D$1:$W$1,$D49-1,0),MATCH(W$4,'Baseline NFPC'!$D$10:$W$10,0))-1)*100</f>
        <v>1.4456980000000064</v>
      </c>
      <c r="Y49" s="271"/>
    </row>
    <row r="50" spans="1:25" x14ac:dyDescent="0.2">
      <c r="A50" s="271"/>
      <c r="B50" s="339">
        <v>10</v>
      </c>
      <c r="C50" s="335" t="s">
        <v>231</v>
      </c>
      <c r="D50" s="344">
        <v>23</v>
      </c>
      <c r="E50" s="345" t="s">
        <v>230</v>
      </c>
      <c r="F50" s="332">
        <f ca="1">INDEX(OFFSET('Baseline NFPC'!$D$1:$W$1,$D50-1,0),MATCH(F$4,'Baseline NFPC'!$D$10:$W$10,0))</f>
        <v>1.586897</v>
      </c>
      <c r="G50" s="332">
        <f ca="1">INDEX(OFFSET('Baseline NFPC'!$D$1:$W$1,$D50-1,0),MATCH(G$4,'Baseline NFPC'!$D$10:$W$10,0))</f>
        <v>2.3434569999999999</v>
      </c>
      <c r="H50" s="332">
        <f ca="1">INDEX(OFFSET('Baseline NFPC'!$D$1:$W$1,$D50-1,0),MATCH(H$4,'Baseline NFPC'!$D$10:$W$10,0))</f>
        <v>3.0149849999999998</v>
      </c>
      <c r="I50" s="332">
        <f ca="1">INDEX(OFFSET('Baseline NFPC'!$D$1:$W$1,$D50-1,0),MATCH(I$4,'Baseline NFPC'!$D$10:$W$10,0))</f>
        <v>2.0775760000000032</v>
      </c>
      <c r="J50" s="332">
        <f ca="1">INDEX(OFFSET('Baseline NFPC'!$D$1:$W$1,$D50-1,0),MATCH(J$4,'Baseline NFPC'!$D$10:$W$10,0))</f>
        <v>1.7982519999999891</v>
      </c>
      <c r="K50" s="332">
        <f ca="1">INDEX(OFFSET('Baseline NFPC'!$D$1:$W$1,$D50-1,0),MATCH(K$4,'Baseline NFPC'!$D$10:$W$10,0))</f>
        <v>2.0133249999999991</v>
      </c>
      <c r="L50" s="332">
        <f ca="1">INDEX(OFFSET('Baseline NFPC'!$D$1:$W$1,$D50-1,0),MATCH(L$4,'Baseline NFPC'!$D$10:$W$10,0))</f>
        <v>2.3063070000000074</v>
      </c>
      <c r="M50" s="332">
        <f ca="1">INDEX(OFFSET('Baseline NFPC'!$D$1:$W$1,$D50-1,0),MATCH(M$4,'Baseline NFPC'!$D$10:$W$10,0))</f>
        <v>2.3041770000000072</v>
      </c>
      <c r="N50" s="332">
        <f ca="1">INDEX(OFFSET('Baseline NFPC'!$D$1:$W$1,$D50-1,0),MATCH(N$4,'Baseline NFPC'!$D$10:$W$10,0))</f>
        <v>2.2821650000000027</v>
      </c>
      <c r="O50" s="332">
        <f ca="1">INDEX(OFFSET('Baseline NFPC'!$D$1:$W$1,$D50-1,0),MATCH(O$4,'Baseline NFPC'!$D$10:$W$10,0))</f>
        <v>2.2710119999999945</v>
      </c>
      <c r="P50" s="332">
        <f ca="1">INDEX(OFFSET('Baseline NFPC'!$D$1:$W$1,$D50-1,0),MATCH(P$4,'Baseline NFPC'!$D$10:$W$10,0))</f>
        <v>2.2812250000000089</v>
      </c>
      <c r="Q50" s="332">
        <f ca="1">INDEX(OFFSET('Baseline NFPC'!$D$1:$W$1,$D50-1,0),MATCH(Q$4,'Baseline NFPC'!$D$10:$W$10,0))</f>
        <v>2.1648190000000067</v>
      </c>
      <c r="R50" s="332">
        <f ca="1">INDEX(OFFSET('Baseline NFPC'!$D$1:$W$1,$D50-1,0),MATCH(R$4,'Baseline NFPC'!$D$10:$W$10,0))</f>
        <v>2.0484130000000045</v>
      </c>
      <c r="S50" s="332">
        <f ca="1">INDEX(OFFSET('Baseline NFPC'!$D$1:$W$1,$D50-1,0),MATCH(S$4,'Baseline NFPC'!$D$10:$W$10,0))</f>
        <v>1.9320039999999983</v>
      </c>
      <c r="T50" s="332">
        <f ca="1">INDEX(OFFSET('Baseline NFPC'!$D$1:$W$1,$D50-1,0),MATCH(T$4,'Baseline NFPC'!$D$10:$W$10,0))</f>
        <v>1.8762340000000099</v>
      </c>
      <c r="U50" s="332">
        <f ca="1">INDEX(OFFSET('Baseline NFPC'!$D$1:$W$1,$D50-1,0),MATCH(U$4,'Baseline NFPC'!$D$10:$W$10,0))</f>
        <v>1.7763090000000092</v>
      </c>
      <c r="V50" s="332">
        <f ca="1">INDEX(OFFSET('Baseline NFPC'!$D$1:$W$1,$D50-1,0),MATCH(V$4,'Baseline NFPC'!$D$10:$W$10,0))</f>
        <v>1.6656940000000064</v>
      </c>
      <c r="W50" s="332">
        <f ca="1">INDEX(OFFSET('Baseline NFPC'!$D$1:$W$1,$D50-1,0),MATCH(W$4,'Baseline NFPC'!$D$10:$W$10,0))</f>
        <v>1.5366369999999963</v>
      </c>
      <c r="X50" s="332">
        <f ca="1">INDEX(OFFSET('Baseline NFPC'!$D$1:$W$1,$D50-1,0),MATCH(X$4,'Baseline NFPC'!$D$10:$W$10,0))</f>
        <v>1.4456929999999923</v>
      </c>
      <c r="Y50" s="271"/>
    </row>
    <row r="51" spans="1:25" x14ac:dyDescent="0.2">
      <c r="A51" s="271"/>
      <c r="B51" s="339">
        <v>11</v>
      </c>
      <c r="C51" s="348" t="s">
        <v>232</v>
      </c>
      <c r="D51" s="344">
        <v>41</v>
      </c>
      <c r="E51" s="345" t="s">
        <v>230</v>
      </c>
      <c r="F51" s="332">
        <f ca="1">INDEX(OFFSET('Baseline NFPC'!$D$1:$W$1,$D51-1,0),MATCH(F$4,'Baseline NFPC'!$D$10:$W$10,0))</f>
        <v>8.8824670000000001</v>
      </c>
      <c r="G51" s="332">
        <f ca="1">INDEX(OFFSET('Baseline NFPC'!$D$1:$W$1,$D51-1,0),MATCH(G$4,'Baseline NFPC'!$D$10:$W$10,0))</f>
        <v>3.3049719999999998</v>
      </c>
      <c r="H51" s="332">
        <f ca="1">INDEX(OFFSET('Baseline NFPC'!$D$1:$W$1,$D51-1,0),MATCH(H$4,'Baseline NFPC'!$D$10:$W$10,0))</f>
        <v>2.9611909999999999</v>
      </c>
      <c r="I51" s="332">
        <f ca="1">INDEX(OFFSET('Baseline NFPC'!$D$1:$W$1,$D51-1,0),MATCH(I$4,'Baseline NFPC'!$D$10:$W$10,0))</f>
        <v>2.9097921250000001</v>
      </c>
      <c r="J51" s="332">
        <f ca="1">INDEX(OFFSET('Baseline NFPC'!$D$1:$W$1,$D51-1,0),MATCH(J$4,'Baseline NFPC'!$D$10:$W$10,0))</f>
        <v>2.8583932499999998</v>
      </c>
      <c r="K51" s="332">
        <f ca="1">INDEX(OFFSET('Baseline NFPC'!$D$1:$W$1,$D51-1,0),MATCH(K$4,'Baseline NFPC'!$D$10:$W$10,0))</f>
        <v>2.8069943749999999</v>
      </c>
      <c r="L51" s="332">
        <f ca="1">INDEX(OFFSET('Baseline NFPC'!$D$1:$W$1,$D51-1,0),MATCH(L$4,'Baseline NFPC'!$D$10:$W$10,0))</f>
        <v>2.7555955000000001</v>
      </c>
      <c r="M51" s="332">
        <f ca="1">INDEX(OFFSET('Baseline NFPC'!$D$1:$W$1,$D51-1,0),MATCH(M$4,'Baseline NFPC'!$D$10:$W$10,0))</f>
        <v>2.7041966249999998</v>
      </c>
      <c r="N51" s="332">
        <f ca="1">INDEX(OFFSET('Baseline NFPC'!$D$1:$W$1,$D51-1,0),MATCH(N$4,'Baseline NFPC'!$D$10:$W$10,0))</f>
        <v>2.65279775</v>
      </c>
      <c r="O51" s="332">
        <f ca="1">INDEX(OFFSET('Baseline NFPC'!$D$1:$W$1,$D51-1,0),MATCH(O$4,'Baseline NFPC'!$D$10:$W$10,0))</f>
        <v>2.6013988749999997</v>
      </c>
      <c r="P51" s="332">
        <f ca="1">INDEX(OFFSET('Baseline NFPC'!$D$1:$W$1,$D51-1,0),MATCH(P$4,'Baseline NFPC'!$D$10:$W$10,0))</f>
        <v>2.5499999999999998</v>
      </c>
      <c r="Q51" s="332">
        <f ca="1">INDEX(OFFSET('Baseline NFPC'!$D$1:$W$1,$D51-1,0),MATCH(Q$4,'Baseline NFPC'!$D$10:$W$10,0))</f>
        <v>2.5225</v>
      </c>
      <c r="R51" s="332">
        <f ca="1">INDEX(OFFSET('Baseline NFPC'!$D$1:$W$1,$D51-1,0),MATCH(R$4,'Baseline NFPC'!$D$10:$W$10,0))</f>
        <v>2.4949999999999997</v>
      </c>
      <c r="S51" s="332">
        <f ca="1">INDEX(OFFSET('Baseline NFPC'!$D$1:$W$1,$D51-1,0),MATCH(S$4,'Baseline NFPC'!$D$10:$W$10,0))</f>
        <v>2.4674999999999998</v>
      </c>
      <c r="T51" s="332">
        <f ca="1">INDEX(OFFSET('Baseline NFPC'!$D$1:$W$1,$D51-1,0),MATCH(T$4,'Baseline NFPC'!$D$10:$W$10,0))</f>
        <v>2.44</v>
      </c>
      <c r="U51" s="332">
        <f ca="1">INDEX(OFFSET('Baseline NFPC'!$D$1:$W$1,$D51-1,0),MATCH(U$4,'Baseline NFPC'!$D$10:$W$10,0))</f>
        <v>2.4124999999999996</v>
      </c>
      <c r="V51" s="332">
        <f ca="1">INDEX(OFFSET('Baseline NFPC'!$D$1:$W$1,$D51-1,0),MATCH(V$4,'Baseline NFPC'!$D$10:$W$10,0))</f>
        <v>2.3849999999999998</v>
      </c>
      <c r="W51" s="332">
        <f ca="1">INDEX(OFFSET('Baseline NFPC'!$D$1:$W$1,$D51-1,0),MATCH(W$4,'Baseline NFPC'!$D$10:$W$10,0))</f>
        <v>2.3574999999999999</v>
      </c>
      <c r="X51" s="332">
        <f ca="1">INDEX(OFFSET('Baseline NFPC'!$D$1:$W$1,$D51-1,0),MATCH(X$4,'Baseline NFPC'!$D$10:$W$10,0))</f>
        <v>2.33</v>
      </c>
      <c r="Y51" s="271"/>
    </row>
    <row r="52" spans="1:25" x14ac:dyDescent="0.2">
      <c r="A52" s="271"/>
      <c r="B52" s="339">
        <v>12</v>
      </c>
      <c r="C52" s="335" t="s">
        <v>233</v>
      </c>
      <c r="D52" s="344">
        <v>32</v>
      </c>
      <c r="E52" s="345" t="s">
        <v>230</v>
      </c>
      <c r="F52" s="332">
        <f ca="1">INDEX(OFFSET('Baseline NFPC'!$D$1:$W$1,$D52-1,0),MATCH(F$4,'Baseline NFPC'!$D$10:$W$10,0))</f>
        <v>10.610319602348994</v>
      </c>
      <c r="G52" s="332">
        <f ca="1">INDEX(OFFSET('Baseline NFPC'!$D$1:$W$1,$D52-1,0),MATCH(G$4,'Baseline NFPC'!$D$10:$W$10,0))</f>
        <v>5.7258795976820487</v>
      </c>
      <c r="H52" s="332">
        <f ca="1">INDEX(OFFSET('Baseline NFPC'!$D$1:$W$1,$D52-1,0),MATCH(H$4,'Baseline NFPC'!$D$10:$W$10,0))</f>
        <v>6.0654554644713476</v>
      </c>
      <c r="I52" s="332">
        <f ca="1">INDEX(OFFSET('Baseline NFPC'!$D$1:$W$1,$D52-1,0),MATCH(I$4,'Baseline NFPC'!$D$10:$W$10,0))</f>
        <v>5.0478212678388923</v>
      </c>
      <c r="J52" s="332">
        <f ca="1">INDEX(OFFSET('Baseline NFPC'!$D$1:$W$1,$D52-1,0),MATCH(J$4,'Baseline NFPC'!$D$10:$W$10,0))</f>
        <v>4.7080463637859671</v>
      </c>
      <c r="K52" s="332">
        <f ca="1">INDEX(OFFSET('Baseline NFPC'!$D$1:$W$1,$D52-1,0),MATCH(K$4,'Baseline NFPC'!$D$10:$W$10,0))</f>
        <v>4.8768332945004822</v>
      </c>
      <c r="L52" s="332">
        <f ca="1">INDEX(OFFSET('Baseline NFPC'!$D$1:$W$1,$D52-1,0),MATCH(L$4,'Baseline NFPC'!$D$10:$W$10,0))</f>
        <v>5.125454991908196</v>
      </c>
      <c r="M52" s="332">
        <f ca="1">INDEX(OFFSET('Baseline NFPC'!$D$1:$W$1,$D52-1,0),MATCH(M$4,'Baseline NFPC'!$D$10:$W$10,0))</f>
        <v>5.0706831016680498</v>
      </c>
      <c r="N52" s="332">
        <f ca="1">INDEX(OFFSET('Baseline NFPC'!$D$1:$W$1,$D52-1,0),MATCH(N$4,'Baseline NFPC'!$D$10:$W$10,0))</f>
        <v>4.9955039717712868</v>
      </c>
      <c r="O52" s="332">
        <f ca="1">INDEX(OFFSET('Baseline NFPC'!$D$1:$W$1,$D52-1,0),MATCH(O$4,'Baseline NFPC'!$D$10:$W$10,0))</f>
        <v>4.9314889556191011</v>
      </c>
      <c r="P52" s="332">
        <f ca="1">INDEX(OFFSET('Baseline NFPC'!$D$1:$W$1,$D52-1,0),MATCH(P$4,'Baseline NFPC'!$D$10:$W$10,0))</f>
        <v>4.8893962375000211</v>
      </c>
      <c r="Q52" s="332">
        <f ca="1">INDEX(OFFSET('Baseline NFPC'!$D$1:$W$1,$D52-1,0),MATCH(Q$4,'Baseline NFPC'!$D$10:$W$10,0))</f>
        <v>4.7419265592750115</v>
      </c>
      <c r="R52" s="332">
        <f ca="1">INDEX(OFFSET('Baseline NFPC'!$D$1:$W$1,$D52-1,0),MATCH(R$4,'Baseline NFPC'!$D$10:$W$10,0))</f>
        <v>4.5945209043499968</v>
      </c>
      <c r="S52" s="332">
        <f ca="1">INDEX(OFFSET('Baseline NFPC'!$D$1:$W$1,$D52-1,0),MATCH(S$4,'Baseline NFPC'!$D$10:$W$10,0))</f>
        <v>4.4471761987000091</v>
      </c>
      <c r="T52" s="332">
        <f ca="1">INDEX(OFFSET('Baseline NFPC'!$D$1:$W$1,$D52-1,0),MATCH(T$4,'Baseline NFPC'!$D$10:$W$10,0))</f>
        <v>4.3620141095999987</v>
      </c>
      <c r="U52" s="332">
        <f ca="1">INDEX(OFFSET('Baseline NFPC'!$D$1:$W$1,$D52-1,0),MATCH(U$4,'Baseline NFPC'!$D$10:$W$10,0))</f>
        <v>4.231662454625007</v>
      </c>
      <c r="V52" s="332">
        <f ca="1">INDEX(OFFSET('Baseline NFPC'!$D$1:$W$1,$D52-1,0),MATCH(V$4,'Baseline NFPC'!$D$10:$W$10,0))</f>
        <v>4.0904208019000077</v>
      </c>
      <c r="W52" s="332">
        <f ca="1">INDEX(OFFSET('Baseline NFPC'!$D$1:$W$1,$D52-1,0),MATCH(W$4,'Baseline NFPC'!$D$10:$W$10,0))</f>
        <v>3.9303632172749792</v>
      </c>
      <c r="X52" s="332">
        <f ca="1">INDEX(OFFSET('Baseline NFPC'!$D$1:$W$1,$D52-1,0),MATCH(X$4,'Baseline NFPC'!$D$10:$W$10,0))</f>
        <v>3.8093776468999918</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69.219569977397526</v>
      </c>
      <c r="G58" s="332">
        <f ca="1">INDEX(OFFSET('Adjustment scenario'!$D$1:$W$1,$D58-1,0),MATCH(G$4,'Adjustment scenario'!$D$10:$W$10,0))</f>
        <v>68.073476569055501</v>
      </c>
      <c r="H58" s="332">
        <f ca="1">INDEX(OFFSET('Adjustment scenario'!$D$1:$W$1,$D58-1,0),MATCH(H$4,'Adjustment scenario'!$D$10:$W$10,0))</f>
        <v>66.45039802251047</v>
      </c>
      <c r="I58" s="332">
        <f ca="1">INDEX(OFFSET('Adjustment scenario'!$D$1:$W$1,$D58-1,0),MATCH(I$4,'Adjustment scenario'!$D$10:$W$10,0))</f>
        <v>65.072880781600873</v>
      </c>
      <c r="J58" s="332">
        <f ca="1">INDEX(OFFSET('Adjustment scenario'!$D$1:$W$1,$D58-1,0),MATCH(J$4,'Adjustment scenario'!$D$10:$W$10,0))</f>
        <v>63.524900171385994</v>
      </c>
      <c r="K58" s="332">
        <f ca="1">INDEX(OFFSET('Adjustment scenario'!$D$1:$W$1,$D58-1,0),MATCH(K$4,'Adjustment scenario'!$D$10:$W$10,0))</f>
        <v>61.733292809090884</v>
      </c>
      <c r="L58" s="332">
        <f ca="1">INDEX(OFFSET('Adjustment scenario'!$D$1:$W$1,$D58-1,0),MATCH(L$4,'Adjustment scenario'!$D$10:$W$10,0))</f>
        <v>59.903668064975619</v>
      </c>
      <c r="M58" s="332">
        <f ca="1">INDEX(OFFSET('Adjustment scenario'!$D$1:$W$1,$D58-1,0),MATCH(M$4,'Adjustment scenario'!$D$10:$W$10,0))</f>
        <v>58.295643511034129</v>
      </c>
      <c r="N58" s="332">
        <f ca="1">INDEX(OFFSET('Adjustment scenario'!$D$1:$W$1,$D58-1,0),MATCH(N$4,'Adjustment scenario'!$D$10:$W$10,0))</f>
        <v>56.903473459009483</v>
      </c>
      <c r="O58" s="332">
        <f ca="1">INDEX(OFFSET('Adjustment scenario'!$D$1:$W$1,$D58-1,0),MATCH(O$4,'Adjustment scenario'!$D$10:$W$10,0))</f>
        <v>55.842955077676642</v>
      </c>
      <c r="P58" s="332">
        <f ca="1">INDEX(OFFSET('Adjustment scenario'!$D$1:$W$1,$D58-1,0),MATCH(P$4,'Adjustment scenario'!$D$10:$W$10,0))</f>
        <v>55.059105354062979</v>
      </c>
      <c r="Q58" s="332">
        <f ca="1">INDEX(OFFSET('Adjustment scenario'!$D$1:$W$1,$D58-1,0),MATCH(Q$4,'Adjustment scenario'!$D$10:$W$10,0))</f>
        <v>54.53812884767585</v>
      </c>
      <c r="R58" s="332">
        <f ca="1">INDEX(OFFSET('Adjustment scenario'!$D$1:$W$1,$D58-1,0),MATCH(R$4,'Adjustment scenario'!$D$10:$W$10,0))</f>
        <v>54.320083188778725</v>
      </c>
      <c r="S58" s="332">
        <f ca="1">INDEX(OFFSET('Adjustment scenario'!$D$1:$W$1,$D58-1,0),MATCH(S$4,'Adjustment scenario'!$D$10:$W$10,0))</f>
        <v>54.371490069909441</v>
      </c>
      <c r="T58" s="332">
        <f ca="1">INDEX(OFFSET('Adjustment scenario'!$D$1:$W$1,$D58-1,0),MATCH(T$4,'Adjustment scenario'!$D$10:$W$10,0))</f>
        <v>54.632404772901523</v>
      </c>
      <c r="U58" s="332">
        <f ca="1">INDEX(OFFSET('Adjustment scenario'!$D$1:$W$1,$D58-1,0),MATCH(U$4,'Adjustment scenario'!$D$10:$W$10,0))</f>
        <v>55.169423113924061</v>
      </c>
      <c r="V58" s="332">
        <f ca="1">INDEX(OFFSET('Adjustment scenario'!$D$1:$W$1,$D58-1,0),MATCH(V$4,'Adjustment scenario'!$D$10:$W$10,0))</f>
        <v>56.00965533088236</v>
      </c>
      <c r="W58" s="332">
        <f ca="1">INDEX(OFFSET('Adjustment scenario'!$D$1:$W$1,$D58-1,0),MATCH(W$4,'Adjustment scenario'!$D$10:$W$10,0))</f>
        <v>57.100938629571161</v>
      </c>
      <c r="X58" s="332">
        <f ca="1">INDEX(OFFSET('Adjustment scenario'!$D$1:$W$1,$D58-1,0),MATCH(X$4,'Adjustment scenario'!$D$10:$W$10,0))</f>
        <v>58.422156778108061</v>
      </c>
      <c r="Y58" s="271"/>
    </row>
    <row r="59" spans="1:25" x14ac:dyDescent="0.2">
      <c r="A59" s="271"/>
      <c r="B59" s="339">
        <f>B58+1</f>
        <v>2</v>
      </c>
      <c r="C59" s="346" t="s">
        <v>128</v>
      </c>
      <c r="D59" s="344">
        <v>102</v>
      </c>
      <c r="E59" s="345" t="s">
        <v>221</v>
      </c>
      <c r="F59" s="332">
        <f ca="1">INDEX(OFFSET('Adjustment scenario'!$D$1:$W$1,$D59-1,0),MATCH(F$4,'Adjustment scenario'!$D$10:$W$10,0))</f>
        <v>1.9322374906716235</v>
      </c>
      <c r="G59" s="332">
        <f ca="1">INDEX(OFFSET('Adjustment scenario'!$D$1:$W$1,$D59-1,0),MATCH(G$4,'Adjustment scenario'!$D$10:$W$10,0))</f>
        <v>3.5267677960902559</v>
      </c>
      <c r="H59" s="332">
        <f ca="1">INDEX(OFFSET('Adjustment scenario'!$D$1:$W$1,$D59-1,0),MATCH(H$4,'Adjustment scenario'!$D$10:$W$10,0))</f>
        <v>3.5173052919428573</v>
      </c>
      <c r="I59" s="332">
        <f ca="1">INDEX(OFFSET('Adjustment scenario'!$D$1:$W$1,$D59-1,0),MATCH(I$4,'Adjustment scenario'!$D$10:$W$10,0))</f>
        <v>3.5114891727565909</v>
      </c>
      <c r="J59" s="332">
        <f ca="1">INDEX(OFFSET('Adjustment scenario'!$D$1:$W$1,$D59-1,0),MATCH(J$4,'Adjustment scenario'!$D$10:$W$10,0))</f>
        <v>3.4855429921019607</v>
      </c>
      <c r="K59" s="332">
        <f ca="1">INDEX(OFFSET('Adjustment scenario'!$D$1:$W$1,$D59-1,0),MATCH(K$4,'Adjustment scenario'!$D$10:$W$10,0))</f>
        <v>3.4480212825136918</v>
      </c>
      <c r="L59" s="332">
        <f ca="1">INDEX(OFFSET('Adjustment scenario'!$D$1:$W$1,$D59-1,0),MATCH(L$4,'Adjustment scenario'!$D$10:$W$10,0))</f>
        <v>3.3830840414530639</v>
      </c>
      <c r="M59" s="332">
        <f ca="1">INDEX(OFFSET('Adjustment scenario'!$D$1:$W$1,$D59-1,0),MATCH(M$4,'Adjustment scenario'!$D$10:$W$10,0))</f>
        <v>3.3282122981575797</v>
      </c>
      <c r="N59" s="332">
        <f ca="1">INDEX(OFFSET('Adjustment scenario'!$D$1:$W$1,$D59-1,0),MATCH(N$4,'Adjustment scenario'!$D$10:$W$10,0))</f>
        <v>3.2836782022909374</v>
      </c>
      <c r="O59" s="332">
        <f ca="1">INDEX(OFFSET('Adjustment scenario'!$D$1:$W$1,$D59-1,0),MATCH(O$4,'Adjustment scenario'!$D$10:$W$10,0))</f>
        <v>3.2531715974761268</v>
      </c>
      <c r="P59" s="332">
        <f ca="1">INDEX(OFFSET('Adjustment scenario'!$D$1:$W$1,$D59-1,0),MATCH(P$4,'Adjustment scenario'!$D$10:$W$10,0))</f>
        <v>3.2344969007592761</v>
      </c>
      <c r="Q59" s="332">
        <f ca="1">INDEX(OFFSET('Adjustment scenario'!$D$1:$W$1,$D59-1,0),MATCH(Q$4,'Adjustment scenario'!$D$10:$W$10,0))</f>
        <v>3.1929211125593602</v>
      </c>
      <c r="R59" s="332">
        <f ca="1">INDEX(OFFSET('Adjustment scenario'!$D$1:$W$1,$D59-1,0),MATCH(R$4,'Adjustment scenario'!$D$10:$W$10,0))</f>
        <v>3.1664694264126489</v>
      </c>
      <c r="S59" s="332">
        <f ca="1">INDEX(OFFSET('Adjustment scenario'!$D$1:$W$1,$D59-1,0),MATCH(S$4,'Adjustment scenario'!$D$10:$W$10,0))</f>
        <v>3.1575157643193368</v>
      </c>
      <c r="T59" s="332">
        <f ca="1">INDEX(OFFSET('Adjustment scenario'!$D$1:$W$1,$D59-1,0),MATCH(T$4,'Adjustment scenario'!$D$10:$W$10,0))</f>
        <v>3.1623079260540394</v>
      </c>
      <c r="U59" s="332">
        <f ca="1">INDEX(OFFSET('Adjustment scenario'!$D$1:$W$1,$D59-1,0),MATCH(U$4,'Adjustment scenario'!$D$10:$W$10,0))</f>
        <v>3.1806613484758648</v>
      </c>
      <c r="V59" s="332">
        <f ca="1">INDEX(OFFSET('Adjustment scenario'!$D$1:$W$1,$D59-1,0),MATCH(V$4,'Adjustment scenario'!$D$10:$W$10,0))</f>
        <v>3.2154585102924353</v>
      </c>
      <c r="W59" s="332">
        <f ca="1">INDEX(OFFSET('Adjustment scenario'!$D$1:$W$1,$D59-1,0),MATCH(W$4,'Adjustment scenario'!$D$10:$W$10,0))</f>
        <v>3.2685992518225158</v>
      </c>
      <c r="X59" s="332">
        <f ca="1">INDEX(OFFSET('Adjustment scenario'!$D$1:$W$1,$D59-1,0),MATCH(X$4,'Adjustment scenario'!$D$10:$W$10,0))</f>
        <v>3.3353003550402964</v>
      </c>
      <c r="Y59" s="271"/>
    </row>
    <row r="60" spans="1:25" x14ac:dyDescent="0.2">
      <c r="A60" s="271"/>
      <c r="B60" s="339">
        <f t="shared" ref="B60:B62" si="6">B59+1</f>
        <v>3</v>
      </c>
      <c r="C60" s="346" t="s">
        <v>129</v>
      </c>
      <c r="D60" s="344">
        <v>103</v>
      </c>
      <c r="E60" s="345" t="s">
        <v>221</v>
      </c>
      <c r="F60" s="332">
        <f ca="1">INDEX(OFFSET('Adjustment scenario'!$D$1:$W$1,$D60-1,0),MATCH(F$4,'Adjustment scenario'!$D$10:$W$10,0))</f>
        <v>1.4091118341130224</v>
      </c>
      <c r="G60" s="332">
        <f ca="1">INDEX(OFFSET('Adjustment scenario'!$D$1:$W$1,$D60-1,0),MATCH(G$4,'Adjustment scenario'!$D$10:$W$10,0))</f>
        <v>1.4367993634475367</v>
      </c>
      <c r="H60" s="332">
        <f ca="1">INDEX(OFFSET('Adjustment scenario'!$D$1:$W$1,$D60-1,0),MATCH(H$4,'Adjustment scenario'!$D$10:$W$10,0))</f>
        <v>1.4322277404178712</v>
      </c>
      <c r="I60" s="332">
        <f ca="1">INDEX(OFFSET('Adjustment scenario'!$D$1:$W$1,$D60-1,0),MATCH(I$4,'Adjustment scenario'!$D$10:$W$10,0))</f>
        <v>1.4249399105294891</v>
      </c>
      <c r="J60" s="332">
        <f ca="1">INDEX(OFFSET('Adjustment scenario'!$D$1:$W$1,$D60-1,0),MATCH(J$4,'Adjustment scenario'!$D$10:$W$10,0))</f>
        <v>1.4067770297502447</v>
      </c>
      <c r="K60" s="332">
        <f ca="1">INDEX(OFFSET('Adjustment scenario'!$D$1:$W$1,$D60-1,0),MATCH(K$4,'Adjustment scenario'!$D$10:$W$10,0))</f>
        <v>1.3827328426055638</v>
      </c>
      <c r="L60" s="332">
        <f ca="1">INDEX(OFFSET('Adjustment scenario'!$D$1:$W$1,$D60-1,0),MATCH(L$4,'Adjustment scenario'!$D$10:$W$10,0))</f>
        <v>1.3462529690250069</v>
      </c>
      <c r="M60" s="332">
        <f ca="1">INDEX(OFFSET('Adjustment scenario'!$D$1:$W$1,$D60-1,0),MATCH(M$4,'Adjustment scenario'!$D$10:$W$10,0))</f>
        <v>1.3151851652613622</v>
      </c>
      <c r="N60" s="332">
        <f ca="1">INDEX(OFFSET('Adjustment scenario'!$D$1:$W$1,$D60-1,0),MATCH(N$4,'Adjustment scenario'!$D$10:$W$10,0))</f>
        <v>1.2894162471928843</v>
      </c>
      <c r="O60" s="332">
        <f ca="1">INDEX(OFFSET('Adjustment scenario'!$D$1:$W$1,$D60-1,0),MATCH(O$4,'Adjustment scenario'!$D$10:$W$10,0))</f>
        <v>1.2701695233699286</v>
      </c>
      <c r="P60" s="332">
        <f ca="1">INDEX(OFFSET('Adjustment scenario'!$D$1:$W$1,$D60-1,0),MATCH(P$4,'Adjustment scenario'!$D$10:$W$10,0))</f>
        <v>1.2567348768852837</v>
      </c>
      <c r="Q60" s="332">
        <f ca="1">INDEX(OFFSET('Adjustment scenario'!$D$1:$W$1,$D60-1,0),MATCH(Q$4,'Adjustment scenario'!$D$10:$W$10,0))</f>
        <v>1.2515140886556881</v>
      </c>
      <c r="R60" s="332">
        <f ca="1">INDEX(OFFSET('Adjustment scenario'!$D$1:$W$1,$D60-1,0),MATCH(R$4,'Adjustment scenario'!$D$10:$W$10,0))</f>
        <v>1.2526221170325831</v>
      </c>
      <c r="S60" s="332">
        <f ca="1">INDEX(OFFSET('Adjustment scenario'!$D$1:$W$1,$D60-1,0),MATCH(S$4,'Adjustment scenario'!$D$10:$W$10,0))</f>
        <v>1.261316817471801</v>
      </c>
      <c r="T60" s="332">
        <f ca="1">INDEX(OFFSET('Adjustment scenario'!$D$1:$W$1,$D60-1,0),MATCH(T$4,'Adjustment scenario'!$D$10:$W$10,0))</f>
        <v>1.275997212241605</v>
      </c>
      <c r="U60" s="332">
        <f ca="1">INDEX(OFFSET('Adjustment scenario'!$D$1:$W$1,$D60-1,0),MATCH(U$4,'Adjustment scenario'!$D$10:$W$10,0))</f>
        <v>1.2965073850100717</v>
      </c>
      <c r="V60" s="332">
        <f ca="1">INDEX(OFFSET('Adjustment scenario'!$D$1:$W$1,$D60-1,0),MATCH(V$4,'Adjustment scenario'!$D$10:$W$10,0))</f>
        <v>1.3243029432334275</v>
      </c>
      <c r="W60" s="332">
        <f ca="1">INDEX(OFFSET('Adjustment scenario'!$D$1:$W$1,$D60-1,0),MATCH(W$4,'Adjustment scenario'!$D$10:$W$10,0))</f>
        <v>1.3603348256438408</v>
      </c>
      <c r="X60" s="332">
        <f ca="1">INDEX(OFFSET('Adjustment scenario'!$D$1:$W$1,$D60-1,0),MATCH(X$4,'Adjustment scenario'!$D$10:$W$10,0))</f>
        <v>1.402396231001825</v>
      </c>
      <c r="Y60" s="271"/>
    </row>
    <row r="61" spans="1:25" x14ac:dyDescent="0.2">
      <c r="A61" s="271"/>
      <c r="B61" s="339">
        <f t="shared" si="6"/>
        <v>4</v>
      </c>
      <c r="C61" s="346" t="s">
        <v>130</v>
      </c>
      <c r="D61" s="344">
        <v>104</v>
      </c>
      <c r="E61" s="345" t="s">
        <v>221</v>
      </c>
      <c r="F61" s="332">
        <f ca="1">INDEX(OFFSET('Adjustment scenario'!$D$1:$W$1,$D61-1,0),MATCH(F$4,'Adjustment scenario'!$D$10:$W$10,0))</f>
        <v>3.5859302377484346</v>
      </c>
      <c r="G61" s="332">
        <f ca="1">INDEX(OFFSET('Adjustment scenario'!$D$1:$W$1,$D61-1,0),MATCH(G$4,'Adjustment scenario'!$D$10:$W$10,0))</f>
        <v>2.525258615128005</v>
      </c>
      <c r="H61" s="332">
        <f ca="1">INDEX(OFFSET('Adjustment scenario'!$D$1:$W$1,$D61-1,0),MATCH(H$4,'Adjustment scenario'!$D$10:$W$10,0))</f>
        <v>2.0021189264187753</v>
      </c>
      <c r="I61" s="332">
        <f ca="1">INDEX(OFFSET('Adjustment scenario'!$D$1:$W$1,$D61-1,0),MATCH(I$4,'Adjustment scenario'!$D$10:$W$10,0))</f>
        <v>1.6280881052285947</v>
      </c>
      <c r="J61" s="332">
        <f ca="1">INDEX(OFFSET('Adjustment scenario'!$D$1:$W$1,$D61-1,0),MATCH(J$4,'Adjustment scenario'!$D$10:$W$10,0))</f>
        <v>1.4127314847503287</v>
      </c>
      <c r="K61" s="332">
        <f ca="1">INDEX(OFFSET('Adjustment scenario'!$D$1:$W$1,$D61-1,0),MATCH(K$4,'Adjustment scenario'!$D$10:$W$10,0))</f>
        <v>1.1249139763202334</v>
      </c>
      <c r="L61" s="332">
        <f ca="1">INDEX(OFFSET('Adjustment scenario'!$D$1:$W$1,$D61-1,0),MATCH(L$4,'Adjustment scenario'!$D$10:$W$10,0))</f>
        <v>1.2243882373772133</v>
      </c>
      <c r="M61" s="332">
        <f ca="1">INDEX(OFFSET('Adjustment scenario'!$D$1:$W$1,$D61-1,0),MATCH(M$4,'Adjustment scenario'!$D$10:$W$10,0))</f>
        <v>1.3216104344446638</v>
      </c>
      <c r="N61" s="332">
        <f ca="1">INDEX(OFFSET('Adjustment scenario'!$D$1:$W$1,$D61-1,0),MATCH(N$4,'Adjustment scenario'!$D$10:$W$10,0))</f>
        <v>1.4150889839104648</v>
      </c>
      <c r="O61" s="332">
        <f ca="1">INDEX(OFFSET('Adjustment scenario'!$D$1:$W$1,$D61-1,0),MATCH(O$4,'Adjustment scenario'!$D$10:$W$10,0))</f>
        <v>1.565774949343252</v>
      </c>
      <c r="P61" s="332">
        <f ca="1">INDEX(OFFSET('Adjustment scenario'!$D$1:$W$1,$D61-1,0),MATCH(P$4,'Adjustment scenario'!$D$10:$W$10,0))</f>
        <v>1.7651323084114006</v>
      </c>
      <c r="Q61" s="332">
        <f ca="1">INDEX(OFFSET('Adjustment scenario'!$D$1:$W$1,$D61-1,0),MATCH(Q$4,'Adjustment scenario'!$D$10:$W$10,0))</f>
        <v>1.9130256126109144</v>
      </c>
      <c r="R61" s="332">
        <f ca="1">INDEX(OFFSET('Adjustment scenario'!$D$1:$W$1,$D61-1,0),MATCH(R$4,'Adjustment scenario'!$D$10:$W$10,0))</f>
        <v>2.1128616815174666</v>
      </c>
      <c r="S61" s="332">
        <f ca="1">INDEX(OFFSET('Adjustment scenario'!$D$1:$W$1,$D61-1,0),MATCH(S$4,'Adjustment scenario'!$D$10:$W$10,0))</f>
        <v>2.2939204635618751</v>
      </c>
      <c r="T61" s="332">
        <f ca="1">INDEX(OFFSET('Adjustment scenario'!$D$1:$W$1,$D61-1,0),MATCH(T$4,'Adjustment scenario'!$D$10:$W$10,0))</f>
        <v>2.4581032825498799</v>
      </c>
      <c r="U61" s="332">
        <f ca="1">INDEX(OFFSET('Adjustment scenario'!$D$1:$W$1,$D61-1,0),MATCH(U$4,'Adjustment scenario'!$D$10:$W$10,0))</f>
        <v>2.6730538794038261</v>
      </c>
      <c r="V61" s="332">
        <f ca="1">INDEX(OFFSET('Adjustment scenario'!$D$1:$W$1,$D61-1,0),MATCH(V$4,'Adjustment scenario'!$D$10:$W$10,0))</f>
        <v>2.9187162086352538</v>
      </c>
      <c r="W61" s="332">
        <f ca="1">INDEX(OFFSET('Adjustment scenario'!$D$1:$W$1,$D61-1,0),MATCH(W$4,'Adjustment scenario'!$D$10:$W$10,0))</f>
        <v>3.113931911935131</v>
      </c>
      <c r="X61" s="332">
        <f ca="1">INDEX(OFFSET('Adjustment scenario'!$D$1:$W$1,$D61-1,0),MATCH(X$4,'Adjustment scenario'!$D$10:$W$10,0))</f>
        <v>3.314940397860441</v>
      </c>
      <c r="Y61" s="271"/>
    </row>
    <row r="62" spans="1:25" x14ac:dyDescent="0.2">
      <c r="A62" s="271"/>
      <c r="B62" s="339">
        <f t="shared" si="6"/>
        <v>5</v>
      </c>
      <c r="C62" s="346" t="s">
        <v>131</v>
      </c>
      <c r="D62" s="344">
        <v>105</v>
      </c>
      <c r="E62" s="345" t="s">
        <v>221</v>
      </c>
      <c r="F62" s="332">
        <f ca="1">INDEX(OFFSET('Adjustment scenario'!$D$1:$W$1,$D62-1,0),MATCH(F$4,'Adjustment scenario'!$D$10:$W$10,0))</f>
        <v>0.1099570828526675</v>
      </c>
      <c r="G62" s="332">
        <f ca="1">INDEX(OFFSET('Adjustment scenario'!$D$1:$W$1,$D62-1,0),MATCH(G$4,'Adjustment scenario'!$D$10:$W$10,0))</f>
        <v>7.7433204875281783E-2</v>
      </c>
      <c r="H62" s="332">
        <f ca="1">INDEX(OFFSET('Adjustment scenario'!$D$1:$W$1,$D62-1,0),MATCH(H$4,'Adjustment scenario'!$D$10:$W$10,0))</f>
        <v>6.1391924013377043E-2</v>
      </c>
      <c r="I62" s="332">
        <f ca="1">INDEX(OFFSET('Adjustment scenario'!$D$1:$W$1,$D62-1,0),MATCH(I$4,'Adjustment scenario'!$D$10:$W$10,0))</f>
        <v>4.9922839210187087E-2</v>
      </c>
      <c r="J62" s="332">
        <f ca="1">INDEX(OFFSET('Adjustment scenario'!$D$1:$W$1,$D62-1,0),MATCH(J$4,'Adjustment scenario'!$D$10:$W$10,0))</f>
        <v>4.3319256822687106E-2</v>
      </c>
      <c r="K62" s="332">
        <f ca="1">INDEX(OFFSET('Adjustment scenario'!$D$1:$W$1,$D62-1,0),MATCH(K$4,'Adjustment scenario'!$D$10:$W$10,0))</f>
        <v>3.4493771795748189E-2</v>
      </c>
      <c r="L62" s="332">
        <f ca="1">INDEX(OFFSET('Adjustment scenario'!$D$1:$W$1,$D62-1,0),MATCH(L$4,'Adjustment scenario'!$D$10:$W$10,0))</f>
        <v>3.7543998331002255E-2</v>
      </c>
      <c r="M62" s="332">
        <f ca="1">INDEX(OFFSET('Adjustment scenario'!$D$1:$W$1,$D62-1,0),MATCH(M$4,'Adjustment scenario'!$D$10:$W$10,0))</f>
        <v>4.0525168758003181E-2</v>
      </c>
      <c r="N62" s="332">
        <f ca="1">INDEX(OFFSET('Adjustment scenario'!$D$1:$W$1,$D62-1,0),MATCH(N$4,'Adjustment scenario'!$D$10:$W$10,0))</f>
        <v>4.3391545939677548E-2</v>
      </c>
      <c r="O62" s="332">
        <f ca="1">INDEX(OFFSET('Adjustment scenario'!$D$1:$W$1,$D62-1,0),MATCH(O$4,'Adjustment scenario'!$D$10:$W$10,0))</f>
        <v>4.801210130113117E-2</v>
      </c>
      <c r="P62" s="332">
        <f ca="1">INDEX(OFFSET('Adjustment scenario'!$D$1:$W$1,$D62-1,0),MATCH(P$4,'Adjustment scenario'!$D$10:$W$10,0))</f>
        <v>5.4125090733437915E-2</v>
      </c>
      <c r="Q62" s="332">
        <f ca="1">INDEX(OFFSET('Adjustment scenario'!$D$1:$W$1,$D62-1,0),MATCH(Q$4,'Adjustment scenario'!$D$10:$W$10,0))</f>
        <v>5.8660013396470922E-2</v>
      </c>
      <c r="R62" s="332">
        <f ca="1">INDEX(OFFSET('Adjustment scenario'!$D$1:$W$1,$D62-1,0),MATCH(R$4,'Adjustment scenario'!$D$10:$W$10,0))</f>
        <v>6.4787681736027336E-2</v>
      </c>
      <c r="S62" s="332">
        <f ca="1">INDEX(OFFSET('Adjustment scenario'!$D$1:$W$1,$D62-1,0),MATCH(S$4,'Adjustment scenario'!$D$10:$W$10,0))</f>
        <v>7.0339573205884978E-2</v>
      </c>
      <c r="T62" s="332">
        <f ca="1">INDEX(OFFSET('Adjustment scenario'!$D$1:$W$1,$D62-1,0),MATCH(T$4,'Adjustment scenario'!$D$10:$W$10,0))</f>
        <v>7.5373989001375707E-2</v>
      </c>
      <c r="U62" s="332">
        <f ca="1">INDEX(OFFSET('Adjustment scenario'!$D$1:$W$1,$D62-1,0),MATCH(U$4,'Adjustment scenario'!$D$10:$W$10,0))</f>
        <v>8.1965121293547702E-2</v>
      </c>
      <c r="V62" s="332">
        <f ca="1">INDEX(OFFSET('Adjustment scenario'!$D$1:$W$1,$D62-1,0),MATCH(V$4,'Adjustment scenario'!$D$10:$W$10,0))</f>
        <v>8.9497982029299247E-2</v>
      </c>
      <c r="W62" s="332">
        <f ca="1">INDEX(OFFSET('Adjustment scenario'!$D$1:$W$1,$D62-1,0),MATCH(W$4,'Adjustment scenario'!$D$10:$W$10,0))</f>
        <v>9.5483973902739647E-2</v>
      </c>
      <c r="X62" s="332">
        <f ca="1">INDEX(OFFSET('Adjustment scenario'!$D$1:$W$1,$D62-1,0),MATCH(X$4,'Adjustment scenario'!$D$10:$W$10,0))</f>
        <v>0.10164759262245472</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SI</v>
      </c>
      <c r="B2">
        <v>2021</v>
      </c>
      <c r="C2" s="7" cm="1">
        <f t="array" ref="C2:C22">TRANSPOSE('Adjust. no safeguard'!C12:W12)</f>
        <v>-4.6923700000000004</v>
      </c>
      <c r="D2" s="7">
        <v>1</v>
      </c>
      <c r="E2" s="7" cm="1">
        <f t="array" ref="E2:E22">TRANSPOSE('Adjust. no safeguard'!C62:W62)</f>
        <v>0</v>
      </c>
      <c r="F2" s="7" cm="1">
        <f t="array" ref="F2:F22">TRANSPOSE('Adjust. no safeguard'!C24:W24)</f>
        <v>8.228491</v>
      </c>
      <c r="G2" s="7" cm="1">
        <f t="array" ref="G2:G22">TRANSPOSE('Adjust. no safeguard'!C42:W42)</f>
        <v>2.6764709999999998</v>
      </c>
      <c r="H2" s="7" cm="1">
        <f t="array" ref="H2:H22">TRANSPOSE('Adjust. no safeguard'!C14:W14)</f>
        <v>0</v>
      </c>
      <c r="I2" s="7" cm="1">
        <f t="array" ref="I2:I22">TRANSPOSE('Adjust. no safeguard'!C15:W15)</f>
        <v>-1.7974220000000001</v>
      </c>
      <c r="J2" s="7" cm="1">
        <f t="array" ref="J2:J22">TRANSPOSE('Adjust. no safeguard'!C64:W64)+TRANSPOSE('Adjust. no safeguard'!C65:W65)+TRANSPOSE('Adjust. no safeguard'!C66:W66)</f>
        <v>0</v>
      </c>
      <c r="K2" s="7" cm="1">
        <f t="array" ref="K2:K22">TRANSPOSE('Adjust. no safeguard'!C57:W57)</f>
        <v>74.367679999999993</v>
      </c>
      <c r="L2" s="7" cm="1">
        <f t="array" ref="L2:L22">TRANSPOSE('Adjust. no safeguard'!C36:W36)</f>
        <v>1.7379089999999999</v>
      </c>
      <c r="M2" s="7"/>
      <c r="N2" s="7"/>
    </row>
    <row r="3" spans="1:14" x14ac:dyDescent="0.2">
      <c r="A3" t="str">
        <f>'Adjustment scenario'!C$3</f>
        <v>SI</v>
      </c>
      <c r="B3">
        <v>2022</v>
      </c>
      <c r="C3" s="7">
        <v>-3.2634059999999998</v>
      </c>
      <c r="D3" s="7">
        <v>1</v>
      </c>
      <c r="E3" s="7">
        <v>-1.4018141980885535</v>
      </c>
      <c r="F3" s="7">
        <v>2.4607920000000001</v>
      </c>
      <c r="G3" s="7">
        <v>6.4826920000000001</v>
      </c>
      <c r="H3" s="7">
        <v>0</v>
      </c>
      <c r="I3" s="7">
        <v>1.3303780000000001</v>
      </c>
      <c r="J3" s="7">
        <v>0</v>
      </c>
      <c r="K3" s="7">
        <v>72.475954801911442</v>
      </c>
      <c r="L3" s="7">
        <v>1.6448419999999999</v>
      </c>
      <c r="M3" s="7"/>
      <c r="N3" s="7"/>
    </row>
    <row r="4" spans="1:14" x14ac:dyDescent="0.2">
      <c r="A4" t="str">
        <f>'Adjustment scenario'!C$3</f>
        <v>SI</v>
      </c>
      <c r="B4">
        <v>2023</v>
      </c>
      <c r="C4" s="7">
        <v>-1.555059</v>
      </c>
      <c r="D4" s="7">
        <v>1</v>
      </c>
      <c r="E4" s="7">
        <v>-0.74606702451390927</v>
      </c>
      <c r="F4" s="7">
        <v>1.586897</v>
      </c>
      <c r="G4" s="7">
        <v>8.8824670000000001</v>
      </c>
      <c r="H4" s="7">
        <v>-0.40577220000000003</v>
      </c>
      <c r="I4" s="7">
        <v>1.2366839999999999</v>
      </c>
      <c r="J4" s="7">
        <v>0</v>
      </c>
      <c r="K4" s="7">
        <v>69.219569977397526</v>
      </c>
      <c r="L4" s="7">
        <v>1.8992169999999999</v>
      </c>
      <c r="M4" s="7"/>
      <c r="N4" s="7"/>
    </row>
    <row r="5" spans="1:14" x14ac:dyDescent="0.2">
      <c r="A5" t="str">
        <f>'Adjustment scenario'!C$3</f>
        <v>SI</v>
      </c>
      <c r="B5">
        <v>2024</v>
      </c>
      <c r="C5" s="7">
        <v>-1.244675</v>
      </c>
      <c r="D5" s="7">
        <v>1</v>
      </c>
      <c r="E5" s="7">
        <v>-0.50788490834203148</v>
      </c>
      <c r="F5" s="7">
        <v>2.3434569999999999</v>
      </c>
      <c r="G5" s="7">
        <v>3.3049719999999998</v>
      </c>
      <c r="H5" s="7">
        <v>-0.65215420000000002</v>
      </c>
      <c r="I5" s="7">
        <v>-0.20000760000000001</v>
      </c>
      <c r="J5" s="7">
        <v>0</v>
      </c>
      <c r="K5" s="7">
        <v>68.073476569055501</v>
      </c>
      <c r="L5" s="7">
        <v>2.1593610000000001</v>
      </c>
      <c r="M5" s="7"/>
      <c r="N5" s="7"/>
    </row>
    <row r="6" spans="1:14" x14ac:dyDescent="0.2">
      <c r="A6" t="str">
        <f>'Adjustment scenario'!C$3</f>
        <v>SI</v>
      </c>
      <c r="B6">
        <v>2025</v>
      </c>
      <c r="C6" s="7">
        <v>-0.80467500000000003</v>
      </c>
      <c r="D6" s="7">
        <v>1</v>
      </c>
      <c r="E6" s="7">
        <v>-0.41980548443519122</v>
      </c>
      <c r="F6" s="7">
        <v>2.6849850000000064</v>
      </c>
      <c r="G6" s="7">
        <v>2.9611909999999999</v>
      </c>
      <c r="H6" s="7">
        <v>-0.47665220000000003</v>
      </c>
      <c r="I6" s="7">
        <v>-0.2</v>
      </c>
      <c r="J6" s="7">
        <v>0</v>
      </c>
      <c r="K6" s="7">
        <v>66.45039802251047</v>
      </c>
      <c r="L6" s="7">
        <v>2.1774469999999999</v>
      </c>
      <c r="M6" s="7"/>
      <c r="N6" s="7"/>
    </row>
    <row r="7" spans="1:14" x14ac:dyDescent="0.2">
      <c r="A7" t="str">
        <f>'Adjustment scenario'!C$3</f>
        <v>SI</v>
      </c>
      <c r="B7">
        <v>2026</v>
      </c>
      <c r="C7" s="7">
        <v>-0.36467500000000003</v>
      </c>
      <c r="D7" s="7">
        <v>1</v>
      </c>
      <c r="E7" s="7">
        <v>-0.12783039863904549</v>
      </c>
      <c r="F7" s="7">
        <v>1.8560361763048983</v>
      </c>
      <c r="G7" s="7">
        <v>2.9097921250000001</v>
      </c>
      <c r="H7" s="7">
        <v>0</v>
      </c>
      <c r="I7" s="7">
        <v>0</v>
      </c>
      <c r="J7" s="7">
        <v>0</v>
      </c>
      <c r="K7" s="7">
        <v>65.072880781600873</v>
      </c>
      <c r="L7" s="7">
        <v>2.2733169841339604</v>
      </c>
      <c r="M7" s="7"/>
      <c r="N7" s="7"/>
    </row>
    <row r="8" spans="1:14" x14ac:dyDescent="0.2">
      <c r="A8" t="str">
        <f>'Adjustment scenario'!C$3</f>
        <v>SI</v>
      </c>
      <c r="B8">
        <v>2027</v>
      </c>
      <c r="C8" s="7">
        <v>7.5324999999999975E-2</v>
      </c>
      <c r="D8" s="7">
        <v>1</v>
      </c>
      <c r="E8" s="7">
        <v>6.6086895741077401E-2</v>
      </c>
      <c r="F8" s="7">
        <v>1.9263805590576721</v>
      </c>
      <c r="G8" s="7">
        <v>2.8583932499999998</v>
      </c>
      <c r="H8" s="7">
        <v>0</v>
      </c>
      <c r="I8" s="7">
        <v>0</v>
      </c>
      <c r="J8" s="7">
        <v>0</v>
      </c>
      <c r="K8" s="7">
        <v>63.52490017138598</v>
      </c>
      <c r="L8" s="7">
        <v>2.3607475558071473</v>
      </c>
      <c r="M8" s="7"/>
      <c r="N8" s="7"/>
    </row>
    <row r="9" spans="1:14" x14ac:dyDescent="0.2">
      <c r="A9" t="str">
        <f>'Adjustment scenario'!C$3</f>
        <v>SI</v>
      </c>
      <c r="B9">
        <v>2028</v>
      </c>
      <c r="C9" s="7">
        <v>0.51532500000000003</v>
      </c>
      <c r="D9" s="7">
        <v>1</v>
      </c>
      <c r="E9" s="7">
        <v>0.19482696891251239</v>
      </c>
      <c r="F9" s="7">
        <v>2.0083915211622561</v>
      </c>
      <c r="G9" s="7">
        <v>2.8069943749999999</v>
      </c>
      <c r="H9" s="7">
        <v>0</v>
      </c>
      <c r="I9" s="7">
        <v>0</v>
      </c>
      <c r="J9" s="7">
        <v>0</v>
      </c>
      <c r="K9" s="7">
        <v>61.733292809090869</v>
      </c>
      <c r="L9" s="7">
        <v>2.4431415909904963</v>
      </c>
      <c r="M9" s="7"/>
      <c r="N9" s="7"/>
    </row>
    <row r="10" spans="1:14" x14ac:dyDescent="0.2">
      <c r="A10" t="str">
        <f>'Adjustment scenario'!C$3</f>
        <v>SI</v>
      </c>
      <c r="B10">
        <v>2029</v>
      </c>
      <c r="C10" s="7">
        <v>0.51532500000000003</v>
      </c>
      <c r="D10" s="7">
        <v>1</v>
      </c>
      <c r="E10" s="7">
        <v>0.12988464594168012</v>
      </c>
      <c r="F10" s="7">
        <v>2.4488634757879879</v>
      </c>
      <c r="G10" s="7">
        <v>2.7555955000000001</v>
      </c>
      <c r="H10" s="7">
        <v>0</v>
      </c>
      <c r="I10" s="7">
        <v>0</v>
      </c>
      <c r="J10" s="7">
        <v>0.16970250000000309</v>
      </c>
      <c r="K10" s="7">
        <v>59.903668064975598</v>
      </c>
      <c r="L10" s="7">
        <v>2.5198266539528995</v>
      </c>
      <c r="M10" s="7"/>
      <c r="N10" s="7"/>
    </row>
    <row r="11" spans="1:14" x14ac:dyDescent="0.2">
      <c r="A11" t="str">
        <f>'Adjustment scenario'!C$3</f>
        <v>SI</v>
      </c>
      <c r="B11">
        <v>2030</v>
      </c>
      <c r="C11" s="7">
        <v>0.51532500000000003</v>
      </c>
      <c r="D11" s="7">
        <v>1</v>
      </c>
      <c r="E11" s="7">
        <v>6.4942322970842667E-2</v>
      </c>
      <c r="F11" s="7">
        <v>2.4465371446816819</v>
      </c>
      <c r="G11" s="7">
        <v>2.7041966249999998</v>
      </c>
      <c r="H11" s="7">
        <v>0</v>
      </c>
      <c r="I11" s="7">
        <v>0</v>
      </c>
      <c r="J11" s="7">
        <v>0.33374510000000013</v>
      </c>
      <c r="K11" s="7">
        <v>58.2956435110341</v>
      </c>
      <c r="L11" s="7">
        <v>2.5973688159629482</v>
      </c>
      <c r="M11" s="7"/>
      <c r="N11" s="7"/>
    </row>
    <row r="12" spans="1:14" x14ac:dyDescent="0.2">
      <c r="A12" t="str">
        <f>'Adjustment scenario'!C$3</f>
        <v>SI</v>
      </c>
      <c r="B12">
        <v>2031</v>
      </c>
      <c r="C12" s="7">
        <v>0.51532500000000003</v>
      </c>
      <c r="D12" s="7">
        <v>1</v>
      </c>
      <c r="E12" s="7">
        <v>0</v>
      </c>
      <c r="F12" s="7">
        <v>2.4242937342682014</v>
      </c>
      <c r="G12" s="7">
        <v>2.65279775</v>
      </c>
      <c r="H12" s="7">
        <v>0</v>
      </c>
      <c r="I12" s="7">
        <v>0</v>
      </c>
      <c r="J12" s="7">
        <v>0.49034760000000188</v>
      </c>
      <c r="K12" s="7">
        <v>56.90347345900944</v>
      </c>
      <c r="L12" s="7">
        <v>2.6755489566848842</v>
      </c>
      <c r="M12" s="7"/>
      <c r="N12" s="7"/>
    </row>
    <row r="13" spans="1:14" x14ac:dyDescent="0.2">
      <c r="A13" t="str">
        <f>'Adjustment scenario'!C$3</f>
        <v>SI</v>
      </c>
      <c r="B13">
        <v>2032</v>
      </c>
      <c r="C13" s="7">
        <v>0.51532500000000003</v>
      </c>
      <c r="D13" s="7">
        <v>1</v>
      </c>
      <c r="E13" s="7">
        <v>-1.3728230688236922E-6</v>
      </c>
      <c r="F13" s="7">
        <v>2.2710119999999945</v>
      </c>
      <c r="G13" s="7">
        <v>2.6013988749999997</v>
      </c>
      <c r="H13" s="7">
        <v>0</v>
      </c>
      <c r="I13" s="7">
        <v>0</v>
      </c>
      <c r="J13" s="7">
        <v>0.63558010000000054</v>
      </c>
      <c r="K13" s="7">
        <v>55.842955077676599</v>
      </c>
      <c r="L13" s="7">
        <v>2.7541143960072425</v>
      </c>
      <c r="M13" s="7"/>
      <c r="N13" s="7"/>
    </row>
    <row r="14" spans="1:14" x14ac:dyDescent="0.2">
      <c r="A14" t="str">
        <f>'Adjustment scenario'!C$3</f>
        <v>SI</v>
      </c>
      <c r="B14">
        <v>2033</v>
      </c>
      <c r="C14" s="7">
        <v>0.51532500000000003</v>
      </c>
      <c r="D14" s="7">
        <v>1</v>
      </c>
      <c r="E14" s="7">
        <v>-1.3728230688236922E-6</v>
      </c>
      <c r="F14" s="7">
        <v>2.2812250000000089</v>
      </c>
      <c r="G14" s="7">
        <v>2.5499999999999998</v>
      </c>
      <c r="H14" s="7">
        <v>0</v>
      </c>
      <c r="I14" s="7">
        <v>0</v>
      </c>
      <c r="J14" s="7">
        <v>0.82592270000000023</v>
      </c>
      <c r="K14" s="7">
        <v>55.059105354062943</v>
      </c>
      <c r="L14" s="7">
        <v>2.8337065749049279</v>
      </c>
      <c r="M14" s="7"/>
      <c r="N14" s="7"/>
    </row>
    <row r="15" spans="1:14" x14ac:dyDescent="0.2">
      <c r="A15" t="str">
        <f>'Adjustment scenario'!C$3</f>
        <v>SI</v>
      </c>
      <c r="B15">
        <v>2034</v>
      </c>
      <c r="C15" s="7">
        <v>0.51532500000000003</v>
      </c>
      <c r="D15" s="7">
        <v>1</v>
      </c>
      <c r="E15" s="7">
        <v>-1.3728230688236922E-6</v>
      </c>
      <c r="F15" s="7">
        <v>2.1648190000000067</v>
      </c>
      <c r="G15" s="7">
        <v>2.5225</v>
      </c>
      <c r="H15" s="7">
        <v>0</v>
      </c>
      <c r="I15" s="7">
        <v>0</v>
      </c>
      <c r="J15" s="7">
        <v>0.95686520000000352</v>
      </c>
      <c r="K15" s="7">
        <v>54.538128847675814</v>
      </c>
      <c r="L15" s="7">
        <v>2.9108813628077219</v>
      </c>
      <c r="M15" s="7"/>
      <c r="N15" s="7"/>
    </row>
    <row r="16" spans="1:14" x14ac:dyDescent="0.2">
      <c r="A16" t="str">
        <f>'Adjustment scenario'!C$3</f>
        <v>SI</v>
      </c>
      <c r="B16">
        <v>2035</v>
      </c>
      <c r="C16" s="7">
        <v>0.51532500000000003</v>
      </c>
      <c r="D16" s="7">
        <v>1</v>
      </c>
      <c r="E16" s="7">
        <v>-9.1421719874418281E-7</v>
      </c>
      <c r="F16" s="7">
        <v>2.0484130000000045</v>
      </c>
      <c r="G16" s="7">
        <v>2.4949999999999997</v>
      </c>
      <c r="H16" s="7">
        <v>0</v>
      </c>
      <c r="I16" s="7">
        <v>0</v>
      </c>
      <c r="J16" s="7">
        <v>1.136807699999999</v>
      </c>
      <c r="K16" s="7">
        <v>54.320083188778682</v>
      </c>
      <c r="L16" s="7">
        <v>2.9844551995363542</v>
      </c>
      <c r="M16" s="7"/>
      <c r="N16" s="7"/>
    </row>
    <row r="17" spans="1:14" x14ac:dyDescent="0.2">
      <c r="A17" t="str">
        <f>'Adjustment scenario'!C$3</f>
        <v>SI</v>
      </c>
      <c r="B17">
        <v>2036</v>
      </c>
      <c r="C17" s="7">
        <v>0.51532500000000003</v>
      </c>
      <c r="D17" s="7">
        <v>1</v>
      </c>
      <c r="E17" s="7">
        <v>9.2230115744662566E-7</v>
      </c>
      <c r="F17" s="7">
        <v>1.9320039999999983</v>
      </c>
      <c r="G17" s="7">
        <v>2.4674999999999998</v>
      </c>
      <c r="H17" s="7">
        <v>0</v>
      </c>
      <c r="I17" s="7">
        <v>0</v>
      </c>
      <c r="J17" s="7">
        <v>1.2907803000000007</v>
      </c>
      <c r="K17" s="7">
        <v>54.371490069909413</v>
      </c>
      <c r="L17" s="7">
        <v>3.0549671910119764</v>
      </c>
      <c r="M17" s="7"/>
      <c r="N17" s="7"/>
    </row>
    <row r="18" spans="1:14" x14ac:dyDescent="0.2">
      <c r="A18" t="str">
        <f>'Adjustment scenario'!C$3</f>
        <v>SI</v>
      </c>
      <c r="B18">
        <v>2037</v>
      </c>
      <c r="C18" s="7">
        <v>0.51532500000000003</v>
      </c>
      <c r="D18" s="7">
        <v>1</v>
      </c>
      <c r="E18" s="7">
        <v>9.2230115744662566E-7</v>
      </c>
      <c r="F18" s="7">
        <v>1.8762340000000099</v>
      </c>
      <c r="G18" s="7">
        <v>2.44</v>
      </c>
      <c r="H18" s="7">
        <v>0</v>
      </c>
      <c r="I18" s="7">
        <v>0</v>
      </c>
      <c r="J18" s="7">
        <v>1.4222928000000001</v>
      </c>
      <c r="K18" s="7">
        <v>54.632404772901488</v>
      </c>
      <c r="L18" s="7">
        <v>3.1219616741783081</v>
      </c>
      <c r="M18" s="7"/>
      <c r="N18" s="7"/>
    </row>
    <row r="19" spans="1:14" x14ac:dyDescent="0.2">
      <c r="A19" t="str">
        <f>'Adjustment scenario'!C$3</f>
        <v>SI</v>
      </c>
      <c r="B19">
        <v>2038</v>
      </c>
      <c r="C19" s="7">
        <v>0.51532500000000003</v>
      </c>
      <c r="D19" s="7">
        <v>1</v>
      </c>
      <c r="E19" s="7">
        <v>1.8419650500867137E-6</v>
      </c>
      <c r="F19" s="7">
        <v>1.7763090000000092</v>
      </c>
      <c r="G19" s="7">
        <v>2.4124999999999996</v>
      </c>
      <c r="H19" s="7">
        <v>0</v>
      </c>
      <c r="I19" s="7">
        <v>0</v>
      </c>
      <c r="J19" s="7">
        <v>1.6008554000000017</v>
      </c>
      <c r="K19" s="7">
        <v>55.169423113924019</v>
      </c>
      <c r="L19" s="7">
        <v>3.1851678693625161</v>
      </c>
      <c r="M19" s="7"/>
      <c r="N19" s="7"/>
    </row>
    <row r="20" spans="1:14" x14ac:dyDescent="0.2">
      <c r="A20" t="str">
        <f>'Adjustment scenario'!C$3</f>
        <v>SI</v>
      </c>
      <c r="B20">
        <v>2039</v>
      </c>
      <c r="C20" s="7">
        <v>0.51532500000000003</v>
      </c>
      <c r="D20" s="7">
        <v>1</v>
      </c>
      <c r="E20" s="7">
        <v>2.7626295323379683E-6</v>
      </c>
      <c r="F20" s="7">
        <v>1.6656940000000064</v>
      </c>
      <c r="G20" s="7">
        <v>2.3849999999999998</v>
      </c>
      <c r="H20" s="7">
        <v>0</v>
      </c>
      <c r="I20" s="7">
        <v>0</v>
      </c>
      <c r="J20" s="7">
        <v>1.8036079000000007</v>
      </c>
      <c r="K20" s="7">
        <v>56.009655330882325</v>
      </c>
      <c r="L20" s="7">
        <v>3.2450599286251043</v>
      </c>
      <c r="M20" s="7"/>
      <c r="N20" s="7"/>
    </row>
    <row r="21" spans="1:14" x14ac:dyDescent="0.2">
      <c r="A21" t="str">
        <f>'Adjustment scenario'!C$3</f>
        <v>SI</v>
      </c>
      <c r="B21">
        <v>2040</v>
      </c>
      <c r="C21" s="7">
        <v>0.51532500000000003</v>
      </c>
      <c r="D21" s="7">
        <v>1</v>
      </c>
      <c r="E21" s="7">
        <v>4.5804268737903443E-7</v>
      </c>
      <c r="F21" s="7">
        <v>1.5366369999999963</v>
      </c>
      <c r="G21" s="7">
        <v>2.3574999999999999</v>
      </c>
      <c r="H21" s="7">
        <v>0</v>
      </c>
      <c r="I21" s="7">
        <v>0</v>
      </c>
      <c r="J21" s="7">
        <v>1.9453603999999998</v>
      </c>
      <c r="K21" s="7">
        <v>57.100938629571111</v>
      </c>
      <c r="L21" s="7">
        <v>3.3017809429073788</v>
      </c>
      <c r="M21" s="7"/>
      <c r="N21" s="7"/>
    </row>
    <row r="22" spans="1:14" x14ac:dyDescent="0.2">
      <c r="A22" t="str">
        <f>'Adjustment scenario'!C$3</f>
        <v>SI</v>
      </c>
      <c r="B22">
        <v>2041</v>
      </c>
      <c r="C22" s="7">
        <v>0.51532500000000003</v>
      </c>
      <c r="D22" s="7">
        <v>1</v>
      </c>
      <c r="E22" s="7">
        <v>2.7646954361859601E-6</v>
      </c>
      <c r="F22" s="7">
        <v>1.4456929999999923</v>
      </c>
      <c r="G22" s="7">
        <v>2.33</v>
      </c>
      <c r="H22" s="7">
        <v>0</v>
      </c>
      <c r="I22" s="7">
        <v>0</v>
      </c>
      <c r="J22" s="7">
        <v>2.0865730000000013</v>
      </c>
      <c r="K22" s="7">
        <v>58.422156778108004</v>
      </c>
      <c r="L22" s="7">
        <v>3.3548189146306986</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3.xml><?xml version="1.0" encoding="utf-8"?>
<ds:datastoreItem xmlns:ds="http://schemas.openxmlformats.org/officeDocument/2006/customXml" ds:itemID="{7D5379F7-D4E7-4A0C-87B7-761C7833B4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