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SUSTAINABILITY\EU Fiscal Framework - Technical guidance\Outputs\SF24\Excel spreadsheets\2024-06-19 prior guidance - calculation sheets\"/>
    </mc:Choice>
  </mc:AlternateContent>
  <xr:revisionPtr revIDLastSave="0" documentId="13_ncr:1_{3D057584-B083-4F93-A52D-42132EE72799}" xr6:coauthVersionLast="47" xr6:coauthVersionMax="47" xr10:uidLastSave="{00000000-0000-0000-0000-000000000000}"/>
  <bookViews>
    <workbookView xWindow="28680" yWindow="-120" windowWidth="29040" windowHeight="15990" tabRatio="788"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V104" i="40"/>
  <c r="U104" i="40"/>
  <c r="T104" i="40"/>
  <c r="S104" i="40"/>
  <c r="R104" i="40"/>
  <c r="Q104" i="40"/>
  <c r="P104" i="40"/>
  <c r="O104" i="40"/>
  <c r="N104" i="40"/>
  <c r="M104" i="40"/>
  <c r="L104" i="40"/>
  <c r="K104" i="40"/>
  <c r="J104" i="40"/>
  <c r="I104" i="40"/>
  <c r="H104" i="40"/>
  <c r="G104" i="40"/>
  <c r="F104" i="40"/>
  <c r="E104" i="40"/>
  <c r="C7" i="40"/>
  <c r="C6" i="40"/>
  <c r="C6" i="8"/>
  <c r="C6" i="9"/>
  <c r="U14" i="40" l="1"/>
  <c r="V14" i="40"/>
  <c r="W14" i="40"/>
  <c r="F53" i="44"/>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4" l="1"/>
  <c r="D51" i="40"/>
  <c r="C47" i="40"/>
  <c r="B17" i="40"/>
  <c r="W63" i="40"/>
  <c r="V63" i="40"/>
  <c r="U63" i="40"/>
  <c r="T14" i="40"/>
  <c r="T63" i="40" s="1"/>
  <c r="S14" i="40"/>
  <c r="S63" i="40" s="1"/>
  <c r="R14" i="40"/>
  <c r="R63" i="40" s="1"/>
  <c r="Q14" i="40"/>
  <c r="Q63" i="40" s="1"/>
  <c r="P14" i="40"/>
  <c r="P63" i="40" s="1"/>
  <c r="O14" i="40"/>
  <c r="O63" i="40" s="1"/>
  <c r="N14" i="40"/>
  <c r="N63" i="40" s="1"/>
  <c r="M14" i="40"/>
  <c r="M63" i="40" s="1"/>
  <c r="L14" i="40"/>
  <c r="L63" i="40" s="1"/>
  <c r="K14" i="40"/>
  <c r="K63" i="40" s="1"/>
  <c r="J14" i="40"/>
  <c r="J63" i="40" s="1"/>
  <c r="I14" i="40"/>
  <c r="I63" i="40" s="1"/>
  <c r="H14" i="40"/>
  <c r="H63" i="40" s="1"/>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H62" i="9"/>
  <c r="E99" i="9" l="1"/>
  <c r="F99" i="9"/>
  <c r="G99" i="9"/>
  <c r="L14" i="21"/>
  <c r="M9" i="44" s="1"/>
  <c r="B17" i="21" l="1"/>
  <c r="B16" i="9"/>
  <c r="C27" i="40" l="1"/>
  <c r="C19" i="40"/>
  <c r="Q72" i="40"/>
  <c r="F15" i="40"/>
  <c r="F73" i="40" s="1"/>
  <c r="C57" i="40"/>
  <c r="D42" i="40"/>
  <c r="P72" i="40"/>
  <c r="U15" i="40"/>
  <c r="U73" i="40" s="1"/>
  <c r="E15" i="40"/>
  <c r="E73" i="40" s="1"/>
  <c r="O72" i="40"/>
  <c r="D15" i="40"/>
  <c r="D73" i="40" s="1"/>
  <c r="N72" i="40"/>
  <c r="C15" i="40"/>
  <c r="M72" i="40"/>
  <c r="Q15" i="40"/>
  <c r="Q73" i="40" s="1"/>
  <c r="F14" i="40"/>
  <c r="F63" i="40" s="1"/>
  <c r="O15" i="40"/>
  <c r="O73" i="40" s="1"/>
  <c r="D14" i="40"/>
  <c r="D63" i="40" s="1"/>
  <c r="N15" i="40"/>
  <c r="N73" i="40" s="1"/>
  <c r="I19" i="40"/>
  <c r="C24" i="40"/>
  <c r="F36" i="40"/>
  <c r="U72" i="40"/>
  <c r="C12" i="40"/>
  <c r="E36" i="40"/>
  <c r="C42" i="40"/>
  <c r="T15" i="40"/>
  <c r="T73" i="40" s="1"/>
  <c r="G37" i="40"/>
  <c r="S15" i="40"/>
  <c r="S73" i="40" s="1"/>
  <c r="F37" i="40"/>
  <c r="R15" i="40"/>
  <c r="R73" i="40" s="1"/>
  <c r="G14" i="40"/>
  <c r="G63" i="40" s="1"/>
  <c r="E37" i="40"/>
  <c r="L72" i="40"/>
  <c r="J19" i="40"/>
  <c r="M15" i="40"/>
  <c r="M73" i="40" s="1"/>
  <c r="L15" i="40"/>
  <c r="L73" i="40" s="1"/>
  <c r="V72" i="40"/>
  <c r="D12" i="40"/>
  <c r="G19" i="40"/>
  <c r="J15" i="40"/>
  <c r="J73" i="40" s="1"/>
  <c r="F19" i="40"/>
  <c r="O41" i="9"/>
  <c r="D37" i="40"/>
  <c r="C23" i="40"/>
  <c r="K72" i="40"/>
  <c r="P15" i="40"/>
  <c r="P73" i="40" s="1"/>
  <c r="E14" i="40"/>
  <c r="E63" i="40" s="1"/>
  <c r="J72" i="40"/>
  <c r="I72" i="40"/>
  <c r="C14" i="40"/>
  <c r="H72" i="40"/>
  <c r="D38" i="40"/>
  <c r="W72" i="40"/>
  <c r="H19" i="40"/>
  <c r="K15" i="40"/>
  <c r="K73" i="40" s="1"/>
  <c r="O37" i="40"/>
  <c r="E72" i="40"/>
  <c r="C48" i="40"/>
  <c r="F42" i="40"/>
  <c r="D36" i="40"/>
  <c r="C36" i="40"/>
  <c r="E19" i="40"/>
  <c r="R72" i="40"/>
  <c r="D71" i="9"/>
  <c r="W15" i="40"/>
  <c r="W73" i="40" s="1"/>
  <c r="I15" i="40"/>
  <c r="I73" i="40" s="1"/>
  <c r="T72" i="40"/>
  <c r="S72" i="40"/>
  <c r="D19" i="40"/>
  <c r="H15" i="40"/>
  <c r="H73" i="40" s="1"/>
  <c r="D79" i="40"/>
  <c r="C3" i="40"/>
  <c r="E42" i="40"/>
  <c r="P51" i="44" l="1"/>
  <c r="F79" i="40"/>
  <c r="E79" i="40"/>
  <c r="V15" i="40"/>
  <c r="V73" i="40" s="1"/>
  <c r="V74" i="40" s="1"/>
  <c r="E12" i="40"/>
  <c r="E52" i="40" s="1"/>
  <c r="D50" i="40"/>
  <c r="E51" i="40" s="1"/>
  <c r="O42" i="21"/>
  <c r="O42" i="40"/>
  <c r="D79" i="21"/>
  <c r="D78" i="9"/>
  <c r="L74" i="40"/>
  <c r="F79" i="21"/>
  <c r="F78" i="9"/>
  <c r="E79" i="21"/>
  <c r="E78" i="9"/>
  <c r="W74" i="40"/>
  <c r="K19" i="40"/>
  <c r="K65" i="40"/>
  <c r="L19" i="40"/>
  <c r="L65" i="40"/>
  <c r="C33" i="40"/>
  <c r="M19" i="40"/>
  <c r="M65" i="40"/>
  <c r="C30" i="40"/>
  <c r="E74" i="40"/>
  <c r="R74" i="40"/>
  <c r="U74" i="40"/>
  <c r="H74" i="40"/>
  <c r="D72" i="40"/>
  <c r="D74" i="40" s="1"/>
  <c r="I74" i="40"/>
  <c r="S74" i="40"/>
  <c r="P19" i="40"/>
  <c r="P65" i="40"/>
  <c r="G14" i="9"/>
  <c r="G15" i="40"/>
  <c r="G73" i="40" s="1"/>
  <c r="G36" i="40"/>
  <c r="O38" i="40"/>
  <c r="M74" i="40"/>
  <c r="F12" i="21"/>
  <c r="F12" i="40"/>
  <c r="G12" i="40" s="1"/>
  <c r="H12" i="40" s="1"/>
  <c r="I12" i="40" s="1"/>
  <c r="J12" i="40" s="1"/>
  <c r="K12" i="40" s="1"/>
  <c r="L12" i="40" s="1"/>
  <c r="M12" i="40" s="1"/>
  <c r="R19" i="40"/>
  <c r="R65" i="40"/>
  <c r="W19" i="40"/>
  <c r="W65" i="40"/>
  <c r="F71" i="9"/>
  <c r="F72" i="40"/>
  <c r="K74" i="40"/>
  <c r="S19" i="40"/>
  <c r="S65" i="40"/>
  <c r="G23" i="9"/>
  <c r="H50" i="44" s="1"/>
  <c r="N19" i="40"/>
  <c r="N65" i="40"/>
  <c r="U19" i="40"/>
  <c r="U65" i="40"/>
  <c r="P74" i="40"/>
  <c r="V19" i="40"/>
  <c r="V65" i="40"/>
  <c r="E37" i="9"/>
  <c r="F47" i="44" s="1"/>
  <c r="E38" i="40"/>
  <c r="F37" i="9"/>
  <c r="G47" i="44" s="1"/>
  <c r="F38" i="40"/>
  <c r="Q19" i="40"/>
  <c r="Q65" i="40"/>
  <c r="G71" i="9"/>
  <c r="G72" i="40"/>
  <c r="G37" i="9"/>
  <c r="H47" i="44" s="1"/>
  <c r="G38" i="40"/>
  <c r="H37" i="40"/>
  <c r="I37" i="40" s="1"/>
  <c r="J37" i="40" s="1"/>
  <c r="K37" i="40" s="1"/>
  <c r="L37" i="40" s="1"/>
  <c r="M37" i="40" s="1"/>
  <c r="N37" i="40" s="1"/>
  <c r="D60" i="40"/>
  <c r="Q74" i="40"/>
  <c r="J74" i="40"/>
  <c r="T19" i="40"/>
  <c r="T65" i="40"/>
  <c r="G42" i="40"/>
  <c r="O19" i="40"/>
  <c r="O65" i="40"/>
  <c r="T74" i="40"/>
  <c r="D27" i="40"/>
  <c r="E27" i="40" s="1"/>
  <c r="F27" i="40" s="1"/>
  <c r="G27" i="40" s="1"/>
  <c r="H27" i="40" s="1"/>
  <c r="I27" i="40" s="1"/>
  <c r="J27" i="40" s="1"/>
  <c r="K27" i="40" s="1"/>
  <c r="L27" i="40" s="1"/>
  <c r="M27" i="40" s="1"/>
  <c r="N27" i="40" s="1"/>
  <c r="O27" i="40" s="1"/>
  <c r="P27" i="40" s="1"/>
  <c r="Q27" i="40" s="1"/>
  <c r="R27" i="40" s="1"/>
  <c r="S27" i="40" s="1"/>
  <c r="T27" i="40" s="1"/>
  <c r="U27" i="40" s="1"/>
  <c r="V27" i="40" s="1"/>
  <c r="W27" i="40" s="1"/>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46" i="44" s="1"/>
  <c r="G38" i="21"/>
  <c r="H12" i="44" s="1"/>
  <c r="E37" i="21"/>
  <c r="F11" i="44" s="1"/>
  <c r="E36" i="9"/>
  <c r="F46" i="44" s="1"/>
  <c r="E38" i="21"/>
  <c r="F12" i="44" s="1"/>
  <c r="D38" i="21"/>
  <c r="F38" i="21"/>
  <c r="G12" i="44" s="1"/>
  <c r="G36" i="9"/>
  <c r="H46" i="44" s="1"/>
  <c r="G37" i="21"/>
  <c r="H11" i="44" s="1"/>
  <c r="D37" i="21"/>
  <c r="U41" i="9"/>
  <c r="V41" i="9"/>
  <c r="W41" i="9"/>
  <c r="G35" i="9"/>
  <c r="H48" i="44" s="1"/>
  <c r="Q41" i="9"/>
  <c r="R41" i="9"/>
  <c r="S41" i="9"/>
  <c r="T41" i="9"/>
  <c r="P41" i="9"/>
  <c r="O38" i="21"/>
  <c r="P12" i="44" s="1"/>
  <c r="O37" i="9"/>
  <c r="P47" i="44" s="1"/>
  <c r="G42" i="21"/>
  <c r="G41" i="9"/>
  <c r="G15" i="21"/>
  <c r="O37" i="21"/>
  <c r="P11" i="44" s="1"/>
  <c r="O36" i="9"/>
  <c r="P46" i="44" s="1"/>
  <c r="G14" i="21"/>
  <c r="H9" i="44" s="1"/>
  <c r="G13" i="9"/>
  <c r="G36" i="21"/>
  <c r="C5" i="9"/>
  <c r="F74" i="40" l="1"/>
  <c r="H13" i="44"/>
  <c r="E60" i="40"/>
  <c r="E50" i="40"/>
  <c r="F50" i="40" s="1"/>
  <c r="G7" i="44"/>
  <c r="P17" i="44"/>
  <c r="H17" i="44"/>
  <c r="H41" i="9"/>
  <c r="H51" i="44"/>
  <c r="P42" i="40"/>
  <c r="Q51" i="44"/>
  <c r="T42" i="40"/>
  <c r="U51" i="44"/>
  <c r="S42" i="40"/>
  <c r="T51" i="44"/>
  <c r="R42" i="40"/>
  <c r="S51" i="44"/>
  <c r="Q42" i="40"/>
  <c r="R51" i="44"/>
  <c r="W42" i="40"/>
  <c r="X51" i="44"/>
  <c r="V42" i="40"/>
  <c r="W51" i="44"/>
  <c r="U42" i="40"/>
  <c r="V51" i="44"/>
  <c r="H64" i="9"/>
  <c r="H38" i="40"/>
  <c r="I38" i="40" s="1"/>
  <c r="J38" i="40" s="1"/>
  <c r="K38" i="40" s="1"/>
  <c r="L38" i="40" s="1"/>
  <c r="M38" i="40" s="1"/>
  <c r="N38" i="40" s="1"/>
  <c r="F60" i="40"/>
  <c r="F52" i="40"/>
  <c r="G74" i="40"/>
  <c r="H37" i="9"/>
  <c r="G98" i="9"/>
  <c r="H37" i="21"/>
  <c r="F63" i="9"/>
  <c r="H36" i="9"/>
  <c r="H38" i="21"/>
  <c r="F64" i="9"/>
  <c r="V37" i="9"/>
  <c r="W37" i="9"/>
  <c r="U37" i="9"/>
  <c r="W36" i="9"/>
  <c r="U36" i="9"/>
  <c r="V36" i="9"/>
  <c r="S37" i="9"/>
  <c r="T37" i="9"/>
  <c r="Q37" i="9"/>
  <c r="P37" i="9"/>
  <c r="R37" i="9"/>
  <c r="Q36" i="9"/>
  <c r="R46" i="44" s="1"/>
  <c r="S36" i="9"/>
  <c r="T36" i="9"/>
  <c r="P36" i="9"/>
  <c r="R36" i="9"/>
  <c r="I41" i="9"/>
  <c r="N41" i="9"/>
  <c r="J41" i="9"/>
  <c r="K41" i="9"/>
  <c r="L41" i="9"/>
  <c r="M41" i="9"/>
  <c r="G32" i="9"/>
  <c r="H52" i="44" s="1"/>
  <c r="D23" i="9"/>
  <c r="D24" i="40" s="1"/>
  <c r="E23" i="9"/>
  <c r="F23" i="9"/>
  <c r="C3" i="9"/>
  <c r="H14" i="21"/>
  <c r="I9" i="44" s="1"/>
  <c r="I14" i="21"/>
  <c r="J9" i="44" s="1"/>
  <c r="J14" i="21"/>
  <c r="K9" i="44" s="1"/>
  <c r="K14" i="21"/>
  <c r="L9" i="44" s="1"/>
  <c r="M14" i="21"/>
  <c r="N9" i="44" s="1"/>
  <c r="N14" i="21"/>
  <c r="O9" i="44" s="1"/>
  <c r="O14" i="21"/>
  <c r="P9" i="44" s="1"/>
  <c r="P14" i="21"/>
  <c r="Q9" i="44" s="1"/>
  <c r="Q14" i="21"/>
  <c r="R9" i="44" s="1"/>
  <c r="R14" i="21"/>
  <c r="S9" i="44" s="1"/>
  <c r="S14" i="21"/>
  <c r="T9" i="44" s="1"/>
  <c r="T14" i="21"/>
  <c r="U9" i="44" s="1"/>
  <c r="U14" i="21"/>
  <c r="V9" i="44" s="1"/>
  <c r="V14" i="21"/>
  <c r="W9" i="44" s="1"/>
  <c r="W14" i="21"/>
  <c r="X9" i="44" s="1"/>
  <c r="O51" i="44" l="1"/>
  <c r="F51" i="40"/>
  <c r="N38" i="9"/>
  <c r="C43" i="40"/>
  <c r="D39" i="40"/>
  <c r="C39" i="40"/>
  <c r="G43" i="40"/>
  <c r="E43" i="40"/>
  <c r="D43" i="40"/>
  <c r="F43" i="40"/>
  <c r="R37" i="40"/>
  <c r="S46" i="44"/>
  <c r="U38" i="40"/>
  <c r="V47" i="44"/>
  <c r="P37" i="40"/>
  <c r="Q46" i="44"/>
  <c r="W38" i="40"/>
  <c r="X47" i="44"/>
  <c r="I37" i="9"/>
  <c r="I47" i="44"/>
  <c r="U37" i="40"/>
  <c r="V46" i="44"/>
  <c r="S37" i="40"/>
  <c r="T46" i="44"/>
  <c r="T37" i="40"/>
  <c r="U46" i="44"/>
  <c r="R38" i="40"/>
  <c r="S47" i="44"/>
  <c r="I36" i="9"/>
  <c r="I46" i="44"/>
  <c r="V38" i="40"/>
  <c r="W47" i="44"/>
  <c r="P38" i="40"/>
  <c r="Q47" i="44"/>
  <c r="Q38" i="40"/>
  <c r="R47" i="44"/>
  <c r="W37" i="40"/>
  <c r="X46" i="44"/>
  <c r="I42" i="40"/>
  <c r="J51" i="44"/>
  <c r="F24" i="40"/>
  <c r="F33" i="40" s="1"/>
  <c r="G50" i="44"/>
  <c r="T38" i="40"/>
  <c r="U47" i="44"/>
  <c r="M42" i="40"/>
  <c r="N51" i="44"/>
  <c r="S38" i="40"/>
  <c r="T47" i="44"/>
  <c r="L42" i="40"/>
  <c r="M51" i="44"/>
  <c r="K42" i="40"/>
  <c r="L51" i="44"/>
  <c r="E24" i="40"/>
  <c r="E33" i="40" s="1"/>
  <c r="F50" i="44"/>
  <c r="J42" i="40"/>
  <c r="K51" i="44"/>
  <c r="V37" i="40"/>
  <c r="W46" i="44"/>
  <c r="H42" i="40"/>
  <c r="I51" i="44"/>
  <c r="I38" i="21"/>
  <c r="I12" i="44"/>
  <c r="I37" i="21"/>
  <c r="I11" i="44"/>
  <c r="G51" i="40"/>
  <c r="D33" i="40"/>
  <c r="D68" i="40" s="1"/>
  <c r="N42" i="40"/>
  <c r="Q37" i="21"/>
  <c r="R11" i="44" s="1"/>
  <c r="Q37" i="40"/>
  <c r="G96" i="9"/>
  <c r="V38" i="9"/>
  <c r="V39" i="40" s="1"/>
  <c r="W38" i="9"/>
  <c r="W39" i="40" s="1"/>
  <c r="U38" i="9"/>
  <c r="O38" i="9"/>
  <c r="O39" i="40" s="1"/>
  <c r="P38" i="9"/>
  <c r="P39" i="40" s="1"/>
  <c r="P37" i="21"/>
  <c r="Q11" i="44" s="1"/>
  <c r="H42" i="21"/>
  <c r="N42" i="21"/>
  <c r="E24" i="21"/>
  <c r="F16" i="44" s="1"/>
  <c r="F24" i="21"/>
  <c r="D24" i="21"/>
  <c r="G79" i="40" l="1"/>
  <c r="G16" i="44"/>
  <c r="G38" i="9"/>
  <c r="G39" i="40" s="1"/>
  <c r="M38" i="9"/>
  <c r="M39" i="40" s="1"/>
  <c r="L38" i="9"/>
  <c r="L39" i="40" s="1"/>
  <c r="K38" i="9"/>
  <c r="K39" i="40" s="1"/>
  <c r="J38" i="9"/>
  <c r="I38" i="9"/>
  <c r="I39" i="40" s="1"/>
  <c r="H38" i="9"/>
  <c r="H39" i="40" s="1"/>
  <c r="I17" i="44"/>
  <c r="J37" i="9"/>
  <c r="J47" i="44"/>
  <c r="J36" i="9"/>
  <c r="J46" i="44"/>
  <c r="O17" i="44"/>
  <c r="J37" i="21"/>
  <c r="J11" i="44"/>
  <c r="J38" i="21"/>
  <c r="J12" i="44"/>
  <c r="G101" i="40"/>
  <c r="G101" i="9"/>
  <c r="D69" i="40"/>
  <c r="H43" i="21"/>
  <c r="H43" i="40"/>
  <c r="N39"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G50" i="40" l="1"/>
  <c r="K36" i="9"/>
  <c r="K46" i="44"/>
  <c r="K37" i="9"/>
  <c r="K47" i="44"/>
  <c r="H79" i="40"/>
  <c r="K38" i="21"/>
  <c r="K12" i="44"/>
  <c r="K37" i="21"/>
  <c r="K11" i="44"/>
  <c r="G60" i="40"/>
  <c r="G25" i="35"/>
  <c r="G52" i="40"/>
  <c r="G13" i="40"/>
  <c r="J39" i="21"/>
  <c r="J39" i="40"/>
  <c r="H52" i="40" l="1"/>
  <c r="I79" i="40"/>
  <c r="H60" i="40"/>
  <c r="H25" i="35"/>
  <c r="H13" i="40"/>
  <c r="H50" i="40"/>
  <c r="L37" i="9"/>
  <c r="L47" i="44"/>
  <c r="L36" i="9"/>
  <c r="L46" i="44"/>
  <c r="L37" i="21"/>
  <c r="L11" i="44"/>
  <c r="L38" i="21"/>
  <c r="L12" i="44"/>
  <c r="S38" i="9"/>
  <c r="S39" i="40" s="1"/>
  <c r="Q38" i="9"/>
  <c r="Q39" i="40" s="1"/>
  <c r="R38" i="9"/>
  <c r="R39" i="40" s="1"/>
  <c r="T38" i="9"/>
  <c r="C36" i="21"/>
  <c r="D35" i="9"/>
  <c r="D36" i="21"/>
  <c r="E36" i="21"/>
  <c r="F13" i="44" s="1"/>
  <c r="F36" i="21"/>
  <c r="C12" i="21"/>
  <c r="C12" i="9"/>
  <c r="D12" i="21"/>
  <c r="D12" i="9"/>
  <c r="E12" i="21"/>
  <c r="E12" i="9"/>
  <c r="F12" i="9"/>
  <c r="G13" i="44" l="1"/>
  <c r="I52" i="40"/>
  <c r="I50" i="40"/>
  <c r="I13" i="40"/>
  <c r="I60" i="40"/>
  <c r="J79" i="40"/>
  <c r="I25" i="35"/>
  <c r="F43" i="44"/>
  <c r="F7" i="44"/>
  <c r="D49" i="9"/>
  <c r="E49" i="9" s="1"/>
  <c r="F49" i="9" s="1"/>
  <c r="G43" i="44"/>
  <c r="M36" i="9"/>
  <c r="M46" i="44"/>
  <c r="M37" i="9"/>
  <c r="M47" i="44"/>
  <c r="M38" i="21"/>
  <c r="M12" i="44"/>
  <c r="M37" i="21"/>
  <c r="M11" i="44"/>
  <c r="T39" i="21"/>
  <c r="T39" i="40"/>
  <c r="D96" i="9"/>
  <c r="G12" i="9"/>
  <c r="G78" i="9" s="1"/>
  <c r="C35" i="9"/>
  <c r="C96" i="9" s="1"/>
  <c r="J27" i="35" l="1"/>
  <c r="J13" i="40"/>
  <c r="J50" i="40"/>
  <c r="J60" i="40"/>
  <c r="K79" i="40"/>
  <c r="J52" i="40"/>
  <c r="J25" i="35"/>
  <c r="H43" i="44"/>
  <c r="G49" i="9"/>
  <c r="N37" i="9"/>
  <c r="O47" i="44" s="1"/>
  <c r="N47" i="44"/>
  <c r="N36" i="9"/>
  <c r="O46" i="44" s="1"/>
  <c r="N46" i="44"/>
  <c r="N37" i="21"/>
  <c r="N11" i="44"/>
  <c r="N38" i="21"/>
  <c r="N12" i="44"/>
  <c r="C101" i="40"/>
  <c r="C106" i="40" s="1"/>
  <c r="D101" i="40"/>
  <c r="D106" i="40" s="1"/>
  <c r="H12" i="9"/>
  <c r="H78" i="9" s="1"/>
  <c r="K13" i="40" l="1"/>
  <c r="L79" i="40"/>
  <c r="K52" i="40"/>
  <c r="K50" i="40"/>
  <c r="K25" i="35"/>
  <c r="K60" i="40"/>
  <c r="H49" i="9"/>
  <c r="H59" i="9"/>
  <c r="I43" i="44"/>
  <c r="O12" i="44"/>
  <c r="O11" i="44"/>
  <c r="I12" i="9"/>
  <c r="I78" i="9" s="1"/>
  <c r="C47" i="21"/>
  <c r="C46" i="9"/>
  <c r="L13" i="40" l="1"/>
  <c r="L50" i="40"/>
  <c r="L52" i="40"/>
  <c r="L60" i="40"/>
  <c r="L25" i="35"/>
  <c r="M79" i="40"/>
  <c r="D81" i="40" s="1"/>
  <c r="I49" i="9"/>
  <c r="J12" i="9"/>
  <c r="J78" i="9" s="1"/>
  <c r="J43" i="44"/>
  <c r="F51" i="9"/>
  <c r="G51" i="9"/>
  <c r="H51" i="9"/>
  <c r="D50" i="9"/>
  <c r="B18" i="9"/>
  <c r="M13" i="40" l="1"/>
  <c r="M25" i="35"/>
  <c r="M60" i="40"/>
  <c r="M27" i="35"/>
  <c r="N12" i="40"/>
  <c r="N79" i="40" s="1"/>
  <c r="J49" i="9"/>
  <c r="M50" i="40"/>
  <c r="M52" i="40"/>
  <c r="K12" i="9"/>
  <c r="K78" i="9" s="1"/>
  <c r="K43" i="44"/>
  <c r="E63" i="9"/>
  <c r="D64" i="9"/>
  <c r="D63" i="9"/>
  <c r="E64" i="9"/>
  <c r="N13" i="40" l="1"/>
  <c r="N50" i="40"/>
  <c r="N60" i="40"/>
  <c r="K49" i="9"/>
  <c r="N52" i="40"/>
  <c r="O12" i="40"/>
  <c r="O79" i="40" s="1"/>
  <c r="L12" i="9"/>
  <c r="L78" i="9" s="1"/>
  <c r="L43" i="44"/>
  <c r="D51" i="21"/>
  <c r="C5" i="21"/>
  <c r="C6" i="21" l="1"/>
  <c r="C7" i="21"/>
  <c r="L49" i="9"/>
  <c r="O50" i="40"/>
  <c r="P51" i="40" s="1"/>
  <c r="O52" i="40"/>
  <c r="O13" i="40"/>
  <c r="O60" i="40"/>
  <c r="P12" i="40"/>
  <c r="P79" i="40" s="1"/>
  <c r="D50" i="21"/>
  <c r="E50" i="21" s="1"/>
  <c r="F50" i="21" s="1"/>
  <c r="M12" i="9"/>
  <c r="M43" i="44"/>
  <c r="D65" i="21"/>
  <c r="F65" i="21"/>
  <c r="E65" i="21"/>
  <c r="M49" i="9" l="1"/>
  <c r="M78" i="9"/>
  <c r="P52" i="40"/>
  <c r="P60" i="40"/>
  <c r="P13" i="40"/>
  <c r="Q12" i="40"/>
  <c r="Q79" i="40" s="1"/>
  <c r="P50" i="40"/>
  <c r="N12" i="9"/>
  <c r="N43" i="44"/>
  <c r="I64" i="21"/>
  <c r="G64" i="21"/>
  <c r="H64" i="21"/>
  <c r="J64" i="21"/>
  <c r="F64" i="21"/>
  <c r="D64" i="21"/>
  <c r="N49" i="9" l="1"/>
  <c r="N78" i="9"/>
  <c r="Q13" i="40"/>
  <c r="R12" i="40"/>
  <c r="Q60" i="40"/>
  <c r="Q52" i="40"/>
  <c r="Q51" i="40"/>
  <c r="Q50" i="40"/>
  <c r="O12" i="9"/>
  <c r="O43" i="44"/>
  <c r="C48" i="21"/>
  <c r="C47" i="9"/>
  <c r="E35" i="9"/>
  <c r="F48" i="44" s="1"/>
  <c r="F35" i="9"/>
  <c r="G48" i="44" s="1"/>
  <c r="C3" i="21"/>
  <c r="R60" i="40" l="1"/>
  <c r="R79" i="40"/>
  <c r="O49" i="9"/>
  <c r="O78" i="9"/>
  <c r="R52" i="40"/>
  <c r="S12" i="40"/>
  <c r="R13" i="40"/>
  <c r="R50" i="40"/>
  <c r="R51" i="40"/>
  <c r="P12" i="9"/>
  <c r="P43" i="44"/>
  <c r="F98" i="9"/>
  <c r="E98" i="9"/>
  <c r="E96" i="9" s="1"/>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S79" i="40" l="1"/>
  <c r="P49" i="9"/>
  <c r="P78" i="9"/>
  <c r="S52" i="40"/>
  <c r="S13" i="40"/>
  <c r="T12" i="40"/>
  <c r="S60" i="40"/>
  <c r="P51" i="9"/>
  <c r="P59" i="9"/>
  <c r="S50" i="40"/>
  <c r="S51" i="40"/>
  <c r="Q12" i="9"/>
  <c r="Q43" i="44"/>
  <c r="F27" i="21"/>
  <c r="F15" i="44"/>
  <c r="D59" i="40"/>
  <c r="D77" i="40" s="1"/>
  <c r="E101" i="40"/>
  <c r="E106" i="40" s="1"/>
  <c r="F96" i="9"/>
  <c r="D23" i="21"/>
  <c r="E22" i="9"/>
  <c r="E23" i="40" s="1"/>
  <c r="E30" i="40" s="1"/>
  <c r="E62" i="40" s="1"/>
  <c r="E59" i="40" s="1"/>
  <c r="D26" i="9"/>
  <c r="E26" i="9" s="1"/>
  <c r="M39" i="21"/>
  <c r="C29" i="9"/>
  <c r="F52" i="21"/>
  <c r="C30" i="21"/>
  <c r="F50" i="9"/>
  <c r="E50" i="9"/>
  <c r="G50" i="9"/>
  <c r="F60" i="21"/>
  <c r="E60" i="21"/>
  <c r="E52" i="21"/>
  <c r="D52" i="21"/>
  <c r="D60" i="21"/>
  <c r="U12" i="40" l="1"/>
  <c r="U60" i="40" s="1"/>
  <c r="T79" i="40"/>
  <c r="Q49" i="9"/>
  <c r="Q78" i="9"/>
  <c r="T60" i="40"/>
  <c r="T13" i="40"/>
  <c r="T52" i="40"/>
  <c r="T50" i="40"/>
  <c r="T51" i="40"/>
  <c r="F26" i="9"/>
  <c r="F49" i="44"/>
  <c r="R12" i="9"/>
  <c r="R43" i="44"/>
  <c r="Q51" i="9"/>
  <c r="Q59" i="9"/>
  <c r="G27" i="21"/>
  <c r="G15" i="44"/>
  <c r="F101" i="40"/>
  <c r="F106" i="40" s="1"/>
  <c r="F22" i="9"/>
  <c r="F23" i="40" s="1"/>
  <c r="E23" i="21"/>
  <c r="H39" i="21"/>
  <c r="V39" i="21"/>
  <c r="S39" i="21"/>
  <c r="L39" i="21"/>
  <c r="W39" i="21"/>
  <c r="E39" i="21"/>
  <c r="R39" i="21"/>
  <c r="Q39" i="21"/>
  <c r="P39" i="21"/>
  <c r="N39" i="21"/>
  <c r="G39" i="21"/>
  <c r="F39" i="21"/>
  <c r="K39" i="21"/>
  <c r="I39" i="21"/>
  <c r="O39" i="21"/>
  <c r="H65" i="21"/>
  <c r="I65" i="21"/>
  <c r="G65" i="21"/>
  <c r="E64" i="21"/>
  <c r="J65" i="21"/>
  <c r="E29" i="9"/>
  <c r="E61" i="9" s="1"/>
  <c r="F44" i="44" s="1"/>
  <c r="H50" i="9"/>
  <c r="D29" i="9"/>
  <c r="D61" i="9" s="1"/>
  <c r="F51" i="21"/>
  <c r="E51" i="21"/>
  <c r="V12" i="40" l="1"/>
  <c r="V79" i="40" s="1"/>
  <c r="U13" i="40"/>
  <c r="U79" i="40"/>
  <c r="U52" i="40"/>
  <c r="R49" i="9"/>
  <c r="R78" i="9"/>
  <c r="U51" i="40"/>
  <c r="U50" i="40"/>
  <c r="S12" i="9"/>
  <c r="S43" i="44"/>
  <c r="R59" i="9"/>
  <c r="R51" i="9"/>
  <c r="G26" i="9"/>
  <c r="G49" i="44"/>
  <c r="H27" i="21"/>
  <c r="H15" i="44"/>
  <c r="F30" i="40"/>
  <c r="F62" i="40" s="1"/>
  <c r="G23" i="40"/>
  <c r="G22" i="9"/>
  <c r="F23" i="21"/>
  <c r="I50" i="9"/>
  <c r="F29" i="9"/>
  <c r="F61" i="9" s="1"/>
  <c r="G44" i="44" s="1"/>
  <c r="E30" i="21"/>
  <c r="E62" i="21" s="1"/>
  <c r="F8" i="44" s="1"/>
  <c r="D30" i="21"/>
  <c r="D62" i="21" s="1"/>
  <c r="G51" i="21"/>
  <c r="V60" i="40" l="1"/>
  <c r="V13" i="40"/>
  <c r="V52" i="40"/>
  <c r="W12" i="40"/>
  <c r="W79" i="40" s="1"/>
  <c r="S49" i="9"/>
  <c r="S78" i="9"/>
  <c r="V50" i="40"/>
  <c r="V51" i="40"/>
  <c r="H26" i="9"/>
  <c r="H49" i="44"/>
  <c r="T12" i="9"/>
  <c r="T43" i="44"/>
  <c r="S59" i="9"/>
  <c r="S51" i="9"/>
  <c r="I27" i="21"/>
  <c r="I15" i="44"/>
  <c r="F59" i="40"/>
  <c r="G24" i="40"/>
  <c r="G30" i="40"/>
  <c r="H22" i="9"/>
  <c r="H23" i="9" s="1"/>
  <c r="G29" i="9"/>
  <c r="G61" i="9" s="1"/>
  <c r="H44" i="44" s="1"/>
  <c r="J50" i="9"/>
  <c r="F30" i="21"/>
  <c r="F62" i="21" s="1"/>
  <c r="G8" i="44" s="1"/>
  <c r="W13" i="40" l="1"/>
  <c r="W60" i="40"/>
  <c r="W52" i="40"/>
  <c r="T49" i="9"/>
  <c r="T78" i="9"/>
  <c r="W50" i="40"/>
  <c r="W51" i="40"/>
  <c r="U12" i="9"/>
  <c r="U43" i="44"/>
  <c r="T51" i="9"/>
  <c r="T59" i="9"/>
  <c r="H32" i="9"/>
  <c r="I52" i="44" s="1"/>
  <c r="I50" i="44"/>
  <c r="I26" i="9"/>
  <c r="I49" i="44"/>
  <c r="J27" i="21"/>
  <c r="J15" i="44"/>
  <c r="G106" i="40"/>
  <c r="G62" i="40"/>
  <c r="H51" i="40"/>
  <c r="H23" i="40" s="1"/>
  <c r="G33" i="40"/>
  <c r="H29" i="9"/>
  <c r="H61" i="9" s="1"/>
  <c r="I44" i="44" s="1"/>
  <c r="I22" i="9"/>
  <c r="I23" i="9" s="1"/>
  <c r="J50" i="44" s="1"/>
  <c r="K50" i="9"/>
  <c r="U49" i="9" l="1"/>
  <c r="U78" i="9"/>
  <c r="V43" i="44"/>
  <c r="V12" i="9"/>
  <c r="U59" i="9"/>
  <c r="U51" i="9"/>
  <c r="J49" i="44"/>
  <c r="J26" i="9"/>
  <c r="K27" i="21"/>
  <c r="K15" i="44"/>
  <c r="G59" i="40"/>
  <c r="H24" i="40"/>
  <c r="H30" i="40"/>
  <c r="J22" i="9"/>
  <c r="K22" i="9" s="1"/>
  <c r="I29" i="9"/>
  <c r="I61" i="9" s="1"/>
  <c r="J44" i="44" s="1"/>
  <c r="L50" i="9"/>
  <c r="V49" i="9" l="1"/>
  <c r="V78" i="9"/>
  <c r="H33" i="40"/>
  <c r="K26" i="9"/>
  <c r="K29" i="9" s="1"/>
  <c r="K61" i="9" s="1"/>
  <c r="L44" i="44" s="1"/>
  <c r="K49" i="44"/>
  <c r="V51" i="9"/>
  <c r="W43" i="44"/>
  <c r="W12" i="9"/>
  <c r="V59" i="9"/>
  <c r="L27" i="21"/>
  <c r="L15" i="44"/>
  <c r="H62" i="40"/>
  <c r="I51" i="40"/>
  <c r="I23" i="40" s="1"/>
  <c r="J23" i="9"/>
  <c r="K50" i="44" s="1"/>
  <c r="J29" i="9"/>
  <c r="J61" i="9" s="1"/>
  <c r="K44" i="44" s="1"/>
  <c r="K23" i="9"/>
  <c r="L50" i="44" s="1"/>
  <c r="M50" i="9"/>
  <c r="L22" i="9"/>
  <c r="W49" i="9" l="1"/>
  <c r="W78" i="9"/>
  <c r="X43" i="44"/>
  <c r="W51" i="9"/>
  <c r="W59" i="9"/>
  <c r="L26" i="9"/>
  <c r="L29" i="9" s="1"/>
  <c r="L61" i="9" s="1"/>
  <c r="M44" i="44" s="1"/>
  <c r="L49" i="44"/>
  <c r="M27" i="21"/>
  <c r="M15" i="44"/>
  <c r="H59" i="40"/>
  <c r="I24" i="40"/>
  <c r="I30" i="40"/>
  <c r="M22" i="9"/>
  <c r="N50" i="9"/>
  <c r="L23" i="9"/>
  <c r="M50" i="44" s="1"/>
  <c r="I33" i="40" l="1"/>
  <c r="M26" i="9"/>
  <c r="M29" i="9" s="1"/>
  <c r="M61" i="9" s="1"/>
  <c r="N44" i="44" s="1"/>
  <c r="M49" i="44"/>
  <c r="N27" i="21"/>
  <c r="N15" i="44"/>
  <c r="I62" i="40"/>
  <c r="I59" i="40" s="1"/>
  <c r="J51" i="40"/>
  <c r="J23" i="40" s="1"/>
  <c r="O50" i="9"/>
  <c r="N22" i="9"/>
  <c r="M23" i="9"/>
  <c r="N50" i="44" s="1"/>
  <c r="N26" i="9" l="1"/>
  <c r="N29" i="9" s="1"/>
  <c r="N61" i="9" s="1"/>
  <c r="O44" i="44" s="1"/>
  <c r="N49" i="44"/>
  <c r="O27" i="21"/>
  <c r="O15" i="44"/>
  <c r="J30" i="40"/>
  <c r="J24" i="40"/>
  <c r="O22" i="9"/>
  <c r="P50" i="9"/>
  <c r="N23" i="9"/>
  <c r="O50" i="44" s="1"/>
  <c r="J33" i="40" l="1"/>
  <c r="O26" i="9"/>
  <c r="O49" i="44"/>
  <c r="P27" i="21"/>
  <c r="P15" i="44"/>
  <c r="J62" i="40"/>
  <c r="J59" i="40" s="1"/>
  <c r="K51" i="40"/>
  <c r="K23" i="40" s="1"/>
  <c r="P22" i="9"/>
  <c r="Q50" i="9"/>
  <c r="O23" i="9"/>
  <c r="P50" i="44" s="1"/>
  <c r="O29" i="9"/>
  <c r="O61" i="9" s="1"/>
  <c r="P44" i="44" s="1"/>
  <c r="P26" i="9" l="1"/>
  <c r="P49" i="44"/>
  <c r="Q27" i="21"/>
  <c r="Q15" i="44"/>
  <c r="K30" i="40"/>
  <c r="K24" i="40"/>
  <c r="R50" i="9"/>
  <c r="Q22" i="9"/>
  <c r="P29" i="9"/>
  <c r="P61" i="9" s="1"/>
  <c r="Q44" i="44" s="1"/>
  <c r="P23" i="9"/>
  <c r="Q50" i="44" s="1"/>
  <c r="K33" i="40" l="1"/>
  <c r="Q26" i="9"/>
  <c r="Q49" i="44"/>
  <c r="R27" i="21"/>
  <c r="R15" i="44"/>
  <c r="K62" i="40"/>
  <c r="L51" i="40"/>
  <c r="L23" i="40" s="1"/>
  <c r="S50" i="9"/>
  <c r="R22" i="9"/>
  <c r="Q29" i="9"/>
  <c r="Q61" i="9" s="1"/>
  <c r="R44" i="44" s="1"/>
  <c r="Q23" i="9"/>
  <c r="R50" i="44" s="1"/>
  <c r="R26" i="9" l="1"/>
  <c r="R29" i="9" s="1"/>
  <c r="R61" i="9" s="1"/>
  <c r="S44" i="44" s="1"/>
  <c r="R49" i="44"/>
  <c r="S27" i="21"/>
  <c r="S15" i="44"/>
  <c r="L30" i="40"/>
  <c r="L24" i="40"/>
  <c r="L33" i="40" s="1"/>
  <c r="R23" i="9"/>
  <c r="S50" i="44" s="1"/>
  <c r="T50" i="9"/>
  <c r="S22" i="9"/>
  <c r="S26" i="9" l="1"/>
  <c r="S29" i="9" s="1"/>
  <c r="S61" i="9" s="1"/>
  <c r="T44" i="44" s="1"/>
  <c r="S49" i="44"/>
  <c r="T27" i="21"/>
  <c r="T15" i="44"/>
  <c r="L62" i="40"/>
  <c r="M51" i="40"/>
  <c r="M23" i="40" s="1"/>
  <c r="U50" i="9"/>
  <c r="S23" i="9"/>
  <c r="T50" i="44" s="1"/>
  <c r="T22" i="9"/>
  <c r="T26" i="9" l="1"/>
  <c r="T49" i="44"/>
  <c r="U15" i="44"/>
  <c r="U27" i="21"/>
  <c r="M30" i="40"/>
  <c r="M24" i="40"/>
  <c r="M33" i="40" s="1"/>
  <c r="V50" i="9"/>
  <c r="U22" i="9"/>
  <c r="U23" i="9" s="1"/>
  <c r="V50" i="44" s="1"/>
  <c r="T29" i="9"/>
  <c r="T61" i="9" s="1"/>
  <c r="U44" i="44" s="1"/>
  <c r="T23" i="9"/>
  <c r="U50" i="44" s="1"/>
  <c r="U26" i="9" l="1"/>
  <c r="U49" i="44"/>
  <c r="V27" i="21"/>
  <c r="V15" i="44"/>
  <c r="M62" i="40"/>
  <c r="N51" i="40"/>
  <c r="N23" i="40" s="1"/>
  <c r="O51" i="40"/>
  <c r="V22" i="9"/>
  <c r="V23" i="9" s="1"/>
  <c r="W50" i="44" s="1"/>
  <c r="W50" i="9"/>
  <c r="U29" i="9"/>
  <c r="U61" i="9" s="1"/>
  <c r="V44" i="44" s="1"/>
  <c r="V26" i="9" l="1"/>
  <c r="V29" i="9" s="1"/>
  <c r="V61" i="9" s="1"/>
  <c r="W44" i="44" s="1"/>
  <c r="V49" i="44"/>
  <c r="W27" i="21"/>
  <c r="X15" i="44" s="1"/>
  <c r="W15" i="44"/>
  <c r="O23" i="40"/>
  <c r="N24" i="40"/>
  <c r="N33" i="40" s="1"/>
  <c r="N30" i="40"/>
  <c r="N62" i="40" s="1"/>
  <c r="W22" i="9"/>
  <c r="W23" i="9" s="1"/>
  <c r="X50" i="44" s="1"/>
  <c r="W26" i="9" l="1"/>
  <c r="X49" i="44" s="1"/>
  <c r="W49" i="44"/>
  <c r="O24" i="40"/>
  <c r="O33" i="40" s="1"/>
  <c r="P23" i="40"/>
  <c r="O30" i="40"/>
  <c r="O62" i="40" s="1"/>
  <c r="W29" i="9" l="1"/>
  <c r="W61" i="9" s="1"/>
  <c r="X44" i="44" s="1"/>
  <c r="P30" i="40"/>
  <c r="P62" i="40" s="1"/>
  <c r="Q23" i="40"/>
  <c r="P24" i="40"/>
  <c r="P33" i="40" s="1"/>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24" i="40" l="1"/>
  <c r="Q33" i="40" s="1"/>
  <c r="Q30" i="40"/>
  <c r="Q62" i="40" s="1"/>
  <c r="R23" i="40"/>
  <c r="Q73" i="2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S23" i="40" l="1"/>
  <c r="R24" i="40"/>
  <c r="R33" i="40" s="1"/>
  <c r="R30" i="40"/>
  <c r="R62" i="40" s="1"/>
  <c r="S24" i="40" l="1"/>
  <c r="S33" i="40" s="1"/>
  <c r="T23" i="40"/>
  <c r="S30" i="40"/>
  <c r="S62" i="40" s="1"/>
  <c r="F72" i="21"/>
  <c r="G14" i="44" s="1"/>
  <c r="E71" i="9"/>
  <c r="E72" i="21"/>
  <c r="F14" i="44" s="1"/>
  <c r="D72" i="21"/>
  <c r="U23" i="40" l="1"/>
  <c r="T24" i="40"/>
  <c r="T30" i="40"/>
  <c r="T62" i="40" s="1"/>
  <c r="C20" i="8"/>
  <c r="W20" i="8"/>
  <c r="D20" i="8"/>
  <c r="U20" i="8"/>
  <c r="J20" i="8"/>
  <c r="T20" i="8"/>
  <c r="S20" i="8"/>
  <c r="D15" i="21"/>
  <c r="D73" i="21" s="1"/>
  <c r="D74" i="21" s="1"/>
  <c r="D14" i="9"/>
  <c r="D72" i="9" s="1"/>
  <c r="D73" i="9" s="1"/>
  <c r="Q20" i="8"/>
  <c r="J18" i="9"/>
  <c r="J64" i="9"/>
  <c r="J19" i="21"/>
  <c r="N20" i="8"/>
  <c r="M20" i="8"/>
  <c r="N32" i="9"/>
  <c r="O52" i="44" s="1"/>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E42" i="21"/>
  <c r="F17" i="44" s="1"/>
  <c r="C41" i="9"/>
  <c r="C101" i="9" s="1"/>
  <c r="C42" i="21"/>
  <c r="C103" i="21" s="1"/>
  <c r="O20" i="8"/>
  <c r="D42" i="21"/>
  <c r="D103" i="21" s="1"/>
  <c r="D41" i="9"/>
  <c r="D101" i="9" s="1"/>
  <c r="V65" i="21"/>
  <c r="V64" i="9"/>
  <c r="V19" i="21"/>
  <c r="V18" i="9"/>
  <c r="T33" i="40" l="1"/>
  <c r="F101" i="9"/>
  <c r="G51" i="44"/>
  <c r="E101" i="9"/>
  <c r="F51" i="44"/>
  <c r="F33" i="21"/>
  <c r="G18" i="44" s="1"/>
  <c r="G17" i="44"/>
  <c r="E63" i="21"/>
  <c r="E59" i="21" s="1"/>
  <c r="F9" i="44"/>
  <c r="F63" i="21"/>
  <c r="L18" i="40"/>
  <c r="L64" i="40"/>
  <c r="L59" i="40" s="1"/>
  <c r="K18" i="40"/>
  <c r="K64" i="40"/>
  <c r="M18" i="40"/>
  <c r="M64" i="40"/>
  <c r="M59" i="40" s="1"/>
  <c r="U24" i="40"/>
  <c r="U33" i="40" s="1"/>
  <c r="U30" i="40"/>
  <c r="U62" i="40" s="1"/>
  <c r="V23" i="40"/>
  <c r="N18" i="40"/>
  <c r="N64" i="40"/>
  <c r="N59" i="40" s="1"/>
  <c r="R18" i="40"/>
  <c r="R64" i="40"/>
  <c r="R59" i="40" s="1"/>
  <c r="V18" i="40"/>
  <c r="V64" i="40"/>
  <c r="S18" i="40"/>
  <c r="S64" i="40"/>
  <c r="S59" i="40" s="1"/>
  <c r="T18" i="40"/>
  <c r="T64" i="40"/>
  <c r="T59" i="40" s="1"/>
  <c r="J18" i="21"/>
  <c r="J18" i="40"/>
  <c r="U18" i="40"/>
  <c r="U64" i="40"/>
  <c r="D18" i="40"/>
  <c r="P18" i="40"/>
  <c r="P64" i="40"/>
  <c r="P59" i="40" s="1"/>
  <c r="O18" i="40"/>
  <c r="O64" i="40"/>
  <c r="O59" i="40" s="1"/>
  <c r="Q18" i="40"/>
  <c r="Q64" i="40"/>
  <c r="Q59" i="40" s="1"/>
  <c r="W18" i="40"/>
  <c r="W64" i="40"/>
  <c r="C18" i="40"/>
  <c r="H63" i="9"/>
  <c r="H58" i="9" s="1"/>
  <c r="K64" i="21"/>
  <c r="M64" i="21"/>
  <c r="N64" i="21"/>
  <c r="R64" i="21"/>
  <c r="L64" i="21"/>
  <c r="V64" i="21"/>
  <c r="S18" i="21"/>
  <c r="S64" i="21"/>
  <c r="T64" i="21"/>
  <c r="U64" i="21"/>
  <c r="P64" i="21"/>
  <c r="O64" i="21"/>
  <c r="Q64" i="21"/>
  <c r="W64" i="21"/>
  <c r="U17" i="9"/>
  <c r="G63" i="9"/>
  <c r="G58" i="9" s="1"/>
  <c r="C18" i="21"/>
  <c r="C17" i="9"/>
  <c r="W17" i="9"/>
  <c r="T17" i="9"/>
  <c r="S63" i="9"/>
  <c r="S58" i="9" s="1"/>
  <c r="T18" i="21"/>
  <c r="S17" i="9"/>
  <c r="J17" i="9"/>
  <c r="D17" i="9"/>
  <c r="D18" i="21"/>
  <c r="U18" i="21"/>
  <c r="W18" i="21"/>
  <c r="W63" i="9"/>
  <c r="W58" i="9" s="1"/>
  <c r="T63" i="9"/>
  <c r="T58" i="9" s="1"/>
  <c r="E32" i="9"/>
  <c r="F52" i="44" s="1"/>
  <c r="O63" i="9"/>
  <c r="O58" i="9" s="1"/>
  <c r="F17" i="9"/>
  <c r="F18" i="21"/>
  <c r="L18" i="21"/>
  <c r="L17" i="9"/>
  <c r="L63" i="9"/>
  <c r="L58" i="9" s="1"/>
  <c r="V42" i="21"/>
  <c r="V32" i="9"/>
  <c r="W52" i="44" s="1"/>
  <c r="O32" i="9"/>
  <c r="P52" i="44" s="1"/>
  <c r="D33" i="21"/>
  <c r="D69" i="21" s="1"/>
  <c r="R42" i="21"/>
  <c r="R32" i="9"/>
  <c r="S52" i="44" s="1"/>
  <c r="W42" i="21"/>
  <c r="W32" i="9"/>
  <c r="X52" i="44" s="1"/>
  <c r="V18" i="21"/>
  <c r="V17" i="9"/>
  <c r="V63" i="9"/>
  <c r="V58" i="9" s="1"/>
  <c r="C33" i="21"/>
  <c r="F32" i="9"/>
  <c r="G52" i="44" s="1"/>
  <c r="C90" i="21"/>
  <c r="D70" i="21"/>
  <c r="S42" i="21"/>
  <c r="S32" i="9"/>
  <c r="T52" i="44" s="1"/>
  <c r="P18" i="21"/>
  <c r="P63" i="9"/>
  <c r="P58" i="9" s="1"/>
  <c r="P17" i="9"/>
  <c r="I18" i="21"/>
  <c r="I17" i="9"/>
  <c r="I63" i="9"/>
  <c r="I58" i="9" s="1"/>
  <c r="U42" i="21"/>
  <c r="U32" i="9"/>
  <c r="V52" i="44" s="1"/>
  <c r="M17" i="9"/>
  <c r="M63" i="9"/>
  <c r="M58" i="9" s="1"/>
  <c r="M18" i="21"/>
  <c r="J63" i="9"/>
  <c r="J58" i="9" s="1"/>
  <c r="C32" i="9"/>
  <c r="C87" i="9"/>
  <c r="D69" i="9"/>
  <c r="R18" i="21"/>
  <c r="R17" i="9"/>
  <c r="R63" i="9"/>
  <c r="R58" i="9" s="1"/>
  <c r="Q32" i="9"/>
  <c r="R52" i="44" s="1"/>
  <c r="Q42" i="21"/>
  <c r="N63" i="9"/>
  <c r="N58" i="9" s="1"/>
  <c r="N17" i="9"/>
  <c r="N18" i="21"/>
  <c r="U63" i="9"/>
  <c r="U58" i="9" s="1"/>
  <c r="Q63" i="9"/>
  <c r="Q58" i="9" s="1"/>
  <c r="Q17" i="9"/>
  <c r="Q18" i="21"/>
  <c r="D32" i="9"/>
  <c r="D68" i="9" s="1"/>
  <c r="O17" i="9"/>
  <c r="O18" i="21"/>
  <c r="E33" i="21"/>
  <c r="F18" i="44" s="1"/>
  <c r="H17" i="9"/>
  <c r="H18" i="21"/>
  <c r="G17" i="9"/>
  <c r="G18" i="21"/>
  <c r="P42" i="21"/>
  <c r="P32" i="9"/>
  <c r="Q52" i="44" s="1"/>
  <c r="K63" i="9"/>
  <c r="K58" i="9" s="1"/>
  <c r="K17" i="9"/>
  <c r="K18" i="21"/>
  <c r="E18" i="21"/>
  <c r="E17" i="9"/>
  <c r="T32" i="9"/>
  <c r="U52" i="44" s="1"/>
  <c r="T42" i="21"/>
  <c r="X17" i="44" l="1"/>
  <c r="Q17" i="44"/>
  <c r="R17" i="44"/>
  <c r="V17" i="44"/>
  <c r="S17" i="44"/>
  <c r="W17" i="44"/>
  <c r="U17" i="44"/>
  <c r="T17" i="44"/>
  <c r="K59" i="40"/>
  <c r="U59" i="40"/>
  <c r="W23" i="40"/>
  <c r="V24" i="40"/>
  <c r="V33" i="40" s="1"/>
  <c r="V30" i="40"/>
  <c r="V62" i="40" s="1"/>
  <c r="V59" i="40" s="1"/>
  <c r="D68" i="21"/>
  <c r="D67" i="9"/>
  <c r="D66" i="9" s="1"/>
  <c r="L32" i="9"/>
  <c r="M52" i="44" s="1"/>
  <c r="L42" i="21"/>
  <c r="Q38" i="21"/>
  <c r="R12" i="44" s="1"/>
  <c r="R37" i="21"/>
  <c r="S11" i="44" s="1"/>
  <c r="K42" i="21"/>
  <c r="K32" i="9"/>
  <c r="L52" i="44" s="1"/>
  <c r="U37" i="21"/>
  <c r="V11" i="44" s="1"/>
  <c r="J42" i="21"/>
  <c r="J32" i="9"/>
  <c r="K52" i="44" s="1"/>
  <c r="W38" i="21"/>
  <c r="X12" i="44" s="1"/>
  <c r="S37" i="21"/>
  <c r="T11" i="44" s="1"/>
  <c r="V38" i="21"/>
  <c r="W12" i="44" s="1"/>
  <c r="U38" i="21"/>
  <c r="V12" i="44" s="1"/>
  <c r="V37" i="21"/>
  <c r="W11" i="44" s="1"/>
  <c r="M42" i="21"/>
  <c r="M32" i="9"/>
  <c r="N52" i="44" s="1"/>
  <c r="T38" i="21"/>
  <c r="U12" i="44" s="1"/>
  <c r="R38" i="21"/>
  <c r="S12" i="44" s="1"/>
  <c r="T37" i="21"/>
  <c r="U11" i="44" s="1"/>
  <c r="I32" i="9"/>
  <c r="J52" i="44" s="1"/>
  <c r="I42" i="21"/>
  <c r="S38" i="21"/>
  <c r="T12" i="44" s="1"/>
  <c r="P38" i="21"/>
  <c r="Q12" i="44" s="1"/>
  <c r="W37" i="21"/>
  <c r="X11" i="44" s="1"/>
  <c r="D71" i="40" l="1"/>
  <c r="D67" i="40" s="1"/>
  <c r="D58" i="40" s="1"/>
  <c r="D57" i="40" s="1"/>
  <c r="D71" i="21"/>
  <c r="D67" i="21" s="1"/>
  <c r="D58" i="21" s="1"/>
  <c r="D57" i="21" s="1"/>
  <c r="J17" i="44"/>
  <c r="K17" i="44"/>
  <c r="L17" i="44"/>
  <c r="N17" i="44"/>
  <c r="M17" i="44"/>
  <c r="W30" i="40"/>
  <c r="W62" i="40" s="1"/>
  <c r="W24" i="40"/>
  <c r="D77" i="21"/>
  <c r="D78" i="21"/>
  <c r="D76" i="9"/>
  <c r="D77" i="9"/>
  <c r="E68" i="40" l="1"/>
  <c r="E69" i="40"/>
  <c r="D92" i="40"/>
  <c r="E70" i="40"/>
  <c r="W33" i="40"/>
  <c r="W59" i="40"/>
  <c r="D57" i="9"/>
  <c r="D56" i="9" s="1"/>
  <c r="E68" i="21"/>
  <c r="E69" i="21"/>
  <c r="E70" i="21"/>
  <c r="D90" i="21"/>
  <c r="D95" i="40" l="1"/>
  <c r="D93" i="40"/>
  <c r="D87" i="40"/>
  <c r="D88" i="40" s="1"/>
  <c r="D94" i="40"/>
  <c r="D96" i="40"/>
  <c r="D97" i="40"/>
  <c r="E77" i="40"/>
  <c r="E78" i="40"/>
  <c r="F10" i="44"/>
  <c r="D85" i="21"/>
  <c r="D86" i="21" s="1"/>
  <c r="D87" i="9"/>
  <c r="E68" i="9"/>
  <c r="E67" i="9"/>
  <c r="E69" i="9"/>
  <c r="D92" i="21"/>
  <c r="D95" i="21"/>
  <c r="D94" i="21"/>
  <c r="D91" i="21"/>
  <c r="D93" i="21"/>
  <c r="E77" i="21"/>
  <c r="E78" i="21"/>
  <c r="F6" i="44" l="1"/>
  <c r="E102" i="40"/>
  <c r="E103" i="40" s="1"/>
  <c r="F45" i="44"/>
  <c r="E100" i="21"/>
  <c r="E101" i="21" s="1"/>
  <c r="E76" i="9"/>
  <c r="E77" i="9"/>
  <c r="D88" i="9"/>
  <c r="D89" i="9"/>
  <c r="D90" i="9"/>
  <c r="D92" i="9"/>
  <c r="D91" i="9"/>
  <c r="D83" i="9"/>
  <c r="D84" i="9" s="1"/>
  <c r="E66" i="9" l="1"/>
  <c r="E57" i="9" s="1"/>
  <c r="E56" i="9" s="1"/>
  <c r="E71" i="21"/>
  <c r="E67" i="21" s="1"/>
  <c r="E58" i="21" s="1"/>
  <c r="E57" i="21" s="1"/>
  <c r="E71" i="40"/>
  <c r="E67" i="40" s="1"/>
  <c r="E58" i="40" s="1"/>
  <c r="E57" i="40" s="1"/>
  <c r="F42" i="44"/>
  <c r="D94" i="9"/>
  <c r="E97" i="9"/>
  <c r="F41" i="44" l="1"/>
  <c r="E87" i="9"/>
  <c r="F67" i="9"/>
  <c r="F76" i="9" s="1"/>
  <c r="F68" i="9"/>
  <c r="F69" i="9"/>
  <c r="F68" i="40"/>
  <c r="F69" i="40"/>
  <c r="F70" i="40"/>
  <c r="E92" i="40"/>
  <c r="F5" i="44"/>
  <c r="F68" i="21"/>
  <c r="F69" i="21"/>
  <c r="F70" i="21"/>
  <c r="E90" i="21"/>
  <c r="G45" i="44"/>
  <c r="E83" i="9"/>
  <c r="E92" i="9" s="1"/>
  <c r="D99" i="40"/>
  <c r="D97" i="21"/>
  <c r="D93" i="9"/>
  <c r="F77" i="9" l="1"/>
  <c r="E87" i="40"/>
  <c r="E97" i="40" s="1"/>
  <c r="E85" i="21"/>
  <c r="E94" i="21" s="1"/>
  <c r="G10" i="44"/>
  <c r="F77" i="40"/>
  <c r="F78" i="40"/>
  <c r="G42" i="44"/>
  <c r="E91" i="9"/>
  <c r="E84" i="9"/>
  <c r="E89" i="9" s="1"/>
  <c r="D98" i="40"/>
  <c r="D96" i="21"/>
  <c r="F71" i="40" l="1"/>
  <c r="F67" i="40" s="1"/>
  <c r="F58" i="40" s="1"/>
  <c r="F57" i="40" s="1"/>
  <c r="F71" i="21"/>
  <c r="F67" i="21" s="1"/>
  <c r="F66" i="9"/>
  <c r="F57" i="9" s="1"/>
  <c r="F56" i="9" s="1"/>
  <c r="E88" i="40"/>
  <c r="E94" i="40" s="1"/>
  <c r="E96" i="40"/>
  <c r="E95" i="21"/>
  <c r="G69" i="40"/>
  <c r="G70" i="40"/>
  <c r="F92" i="40"/>
  <c r="G68" i="40"/>
  <c r="E86" i="21"/>
  <c r="E93" i="21" s="1"/>
  <c r="E90" i="9"/>
  <c r="E88" i="9" s="1"/>
  <c r="E93" i="9" s="1"/>
  <c r="G41" i="44"/>
  <c r="E95" i="40"/>
  <c r="F99" i="21"/>
  <c r="G67" i="9" l="1"/>
  <c r="G71" i="40" s="1"/>
  <c r="G67" i="40" s="1"/>
  <c r="G58" i="40" s="1"/>
  <c r="G57" i="40" s="1"/>
  <c r="G69" i="9"/>
  <c r="G68" i="9"/>
  <c r="F87" i="9"/>
  <c r="E92" i="21"/>
  <c r="E91" i="21" s="1"/>
  <c r="F61" i="44"/>
  <c r="F103" i="21"/>
  <c r="G78" i="40"/>
  <c r="G26" i="35" s="1"/>
  <c r="G77" i="40"/>
  <c r="F87" i="40"/>
  <c r="F96" i="40" s="1"/>
  <c r="E93" i="40"/>
  <c r="E99" i="40" s="1"/>
  <c r="F97" i="9"/>
  <c r="E94" i="9"/>
  <c r="G77" i="9"/>
  <c r="H45" i="44" l="1"/>
  <c r="G76" i="9"/>
  <c r="H42" i="44" s="1"/>
  <c r="G71" i="21"/>
  <c r="G66" i="9"/>
  <c r="G57" i="9" s="1"/>
  <c r="G56" i="9" s="1"/>
  <c r="F100" i="21"/>
  <c r="F101" i="21" s="1"/>
  <c r="F58" i="44"/>
  <c r="F60" i="44"/>
  <c r="F59" i="44"/>
  <c r="H70" i="40"/>
  <c r="H69" i="40"/>
  <c r="G92" i="40"/>
  <c r="F97" i="40"/>
  <c r="E98" i="40"/>
  <c r="F88" i="40" s="1"/>
  <c r="F95" i="40" s="1"/>
  <c r="F102" i="40"/>
  <c r="F103" i="40" s="1"/>
  <c r="E96" i="21"/>
  <c r="F62" i="44" s="1"/>
  <c r="E97" i="21"/>
  <c r="F83" i="9"/>
  <c r="F94" i="40" l="1"/>
  <c r="F93" i="40" s="1"/>
  <c r="G87" i="40"/>
  <c r="G97" i="40" s="1"/>
  <c r="G87" i="9"/>
  <c r="H41" i="44"/>
  <c r="H69" i="9"/>
  <c r="H68" i="9"/>
  <c r="F91" i="9"/>
  <c r="F84" i="9"/>
  <c r="F89" i="9" s="1"/>
  <c r="F92" i="9"/>
  <c r="F99" i="40" l="1"/>
  <c r="F98" i="40"/>
  <c r="G102" i="40"/>
  <c r="G103" i="40" s="1"/>
  <c r="G96" i="40"/>
  <c r="F90" i="9"/>
  <c r="F88" i="9" s="1"/>
  <c r="G88" i="40" l="1"/>
  <c r="F94" i="9"/>
  <c r="G99" i="21"/>
  <c r="G94" i="40" l="1"/>
  <c r="G95" i="40"/>
  <c r="F93" i="9"/>
  <c r="G97" i="9"/>
  <c r="G83" i="9"/>
  <c r="G91" i="9" s="1"/>
  <c r="G93" i="40" l="1"/>
  <c r="G92" i="9"/>
  <c r="G84" i="9"/>
  <c r="G90" i="9" s="1"/>
  <c r="E99" i="21"/>
  <c r="E103" i="21" s="1"/>
  <c r="H102" i="40" l="1"/>
  <c r="H103" i="40" s="1"/>
  <c r="H101" i="40" s="1"/>
  <c r="G98" i="40"/>
  <c r="G99" i="40"/>
  <c r="G89" i="9"/>
  <c r="H36" i="40" l="1"/>
  <c r="H68" i="40" s="1"/>
  <c r="H67" i="40" s="1"/>
  <c r="H58" i="40" s="1"/>
  <c r="H57" i="40" s="1"/>
  <c r="H106" i="40"/>
  <c r="H92" i="40" s="1"/>
  <c r="G88" i="9"/>
  <c r="F78" i="21"/>
  <c r="G12" i="21" s="1"/>
  <c r="F59" i="21"/>
  <c r="F77" i="21" s="1"/>
  <c r="G79" i="21" l="1"/>
  <c r="H77" i="40"/>
  <c r="H78" i="40"/>
  <c r="H26" i="35" s="1"/>
  <c r="I70" i="40"/>
  <c r="I69" i="40"/>
  <c r="H87" i="40"/>
  <c r="H88" i="40" s="1"/>
  <c r="H94" i="40" s="1"/>
  <c r="G6" i="44"/>
  <c r="G93" i="9"/>
  <c r="G94" i="9"/>
  <c r="H97" i="9"/>
  <c r="H98" i="9" s="1"/>
  <c r="F58" i="21"/>
  <c r="F57" i="21" s="1"/>
  <c r="H96" i="40" l="1"/>
  <c r="H95" i="40"/>
  <c r="H93" i="40" s="1"/>
  <c r="H97" i="40"/>
  <c r="G5" i="44"/>
  <c r="H7" i="44"/>
  <c r="G50" i="21"/>
  <c r="G13" i="21"/>
  <c r="G18" i="35"/>
  <c r="F90" i="21"/>
  <c r="G70" i="21"/>
  <c r="H98" i="40" l="1"/>
  <c r="H99" i="40"/>
  <c r="I102" i="40"/>
  <c r="I103" i="40" s="1"/>
  <c r="I101" i="40" s="1"/>
  <c r="F85" i="21"/>
  <c r="F86" i="21" s="1"/>
  <c r="G60" i="21"/>
  <c r="G52" i="21"/>
  <c r="I106" i="40" l="1"/>
  <c r="I92" i="40" s="1"/>
  <c r="I36" i="40"/>
  <c r="I68" i="40" s="1"/>
  <c r="F92" i="21"/>
  <c r="F93" i="21"/>
  <c r="F95" i="21"/>
  <c r="F94" i="21"/>
  <c r="G23" i="21"/>
  <c r="G24" i="21" s="1"/>
  <c r="I67" i="40" l="1"/>
  <c r="I58" i="40" s="1"/>
  <c r="I57" i="40" s="1"/>
  <c r="I78" i="40"/>
  <c r="I26" i="35" s="1"/>
  <c r="I77" i="40"/>
  <c r="I87" i="40"/>
  <c r="I88" i="40" s="1"/>
  <c r="I94" i="40" s="1"/>
  <c r="G61" i="44"/>
  <c r="H16" i="44"/>
  <c r="G103" i="21"/>
  <c r="F91" i="21"/>
  <c r="G30" i="21"/>
  <c r="G62" i="21" s="1"/>
  <c r="G33" i="21"/>
  <c r="G59" i="44" l="1"/>
  <c r="G58" i="44"/>
  <c r="I97" i="40"/>
  <c r="I95" i="40"/>
  <c r="I96" i="40"/>
  <c r="J70" i="40"/>
  <c r="J69" i="40"/>
  <c r="G60" i="44"/>
  <c r="G68" i="21"/>
  <c r="H10" i="44" s="1"/>
  <c r="H18" i="44"/>
  <c r="G59" i="21"/>
  <c r="H8" i="44"/>
  <c r="G100" i="21"/>
  <c r="G101" i="21" s="1"/>
  <c r="F97" i="21"/>
  <c r="F96" i="21"/>
  <c r="G62" i="44" s="1"/>
  <c r="H51" i="21"/>
  <c r="G69" i="21"/>
  <c r="I93" i="40" l="1"/>
  <c r="I98" i="40" s="1"/>
  <c r="G77" i="21"/>
  <c r="G78" i="21"/>
  <c r="H12" i="21" s="1"/>
  <c r="G67" i="21"/>
  <c r="G58" i="21" s="1"/>
  <c r="G57" i="21" s="1"/>
  <c r="H79" i="21" l="1"/>
  <c r="H6" i="44"/>
  <c r="J102" i="40"/>
  <c r="J103" i="40" s="1"/>
  <c r="J101" i="40" s="1"/>
  <c r="I99" i="40"/>
  <c r="G19" i="35"/>
  <c r="H5" i="44"/>
  <c r="H70" i="21"/>
  <c r="G90" i="21"/>
  <c r="H13" i="21" l="1"/>
  <c r="J36" i="40"/>
  <c r="J68" i="40" s="1"/>
  <c r="J106" i="40"/>
  <c r="J92" i="40" s="1"/>
  <c r="H18" i="35"/>
  <c r="I7" i="44"/>
  <c r="H50" i="21"/>
  <c r="G85" i="21"/>
  <c r="G86" i="21" s="1"/>
  <c r="H60" i="21"/>
  <c r="H52" i="21"/>
  <c r="J87" i="40" l="1"/>
  <c r="J88" i="40" s="1"/>
  <c r="J95" i="40" s="1"/>
  <c r="J78" i="40"/>
  <c r="J26" i="35" s="1"/>
  <c r="J67" i="40"/>
  <c r="J58" i="40" s="1"/>
  <c r="J57" i="40" s="1"/>
  <c r="J77" i="40"/>
  <c r="H23" i="21"/>
  <c r="H24" i="21" s="1"/>
  <c r="G94" i="21"/>
  <c r="G92" i="21"/>
  <c r="G95" i="21"/>
  <c r="G93" i="21"/>
  <c r="J94" i="40" l="1"/>
  <c r="J93" i="40" s="1"/>
  <c r="J97" i="40"/>
  <c r="J96" i="40"/>
  <c r="K70" i="40"/>
  <c r="K69" i="40"/>
  <c r="H30" i="21"/>
  <c r="H62" i="21" s="1"/>
  <c r="H61" i="44"/>
  <c r="G91" i="21"/>
  <c r="I16" i="44"/>
  <c r="H33" i="21"/>
  <c r="I18" i="44" s="1"/>
  <c r="H59" i="44" l="1"/>
  <c r="H58" i="44"/>
  <c r="K102" i="40"/>
  <c r="K103" i="40" s="1"/>
  <c r="K101" i="40" s="1"/>
  <c r="K106" i="40" s="1"/>
  <c r="K92" i="40" s="1"/>
  <c r="I51" i="21"/>
  <c r="J98" i="40"/>
  <c r="J99" i="40"/>
  <c r="H100" i="21"/>
  <c r="H101" i="21" s="1"/>
  <c r="H99" i="21" s="1"/>
  <c r="G97" i="21"/>
  <c r="G96" i="21"/>
  <c r="H62" i="44" s="1"/>
  <c r="H60" i="44"/>
  <c r="H59" i="21"/>
  <c r="I8" i="44"/>
  <c r="H69" i="21"/>
  <c r="K36" i="40" l="1"/>
  <c r="K68" i="40" s="1"/>
  <c r="K77" i="40" s="1"/>
  <c r="H36" i="21"/>
  <c r="K87" i="40"/>
  <c r="K88" i="40" s="1"/>
  <c r="K94" i="40" s="1"/>
  <c r="H103" i="21"/>
  <c r="H90" i="21" s="1"/>
  <c r="K78" i="40" l="1"/>
  <c r="K26" i="35" s="1"/>
  <c r="K67" i="40"/>
  <c r="K58" i="40" s="1"/>
  <c r="K57" i="40" s="1"/>
  <c r="H68" i="21"/>
  <c r="H77" i="21" s="1"/>
  <c r="I13" i="44"/>
  <c r="K95" i="40"/>
  <c r="K93" i="40" s="1"/>
  <c r="K96" i="40"/>
  <c r="K97" i="40"/>
  <c r="H85" i="21"/>
  <c r="H86" i="21" s="1"/>
  <c r="H93" i="21" s="1"/>
  <c r="H67" i="21" l="1"/>
  <c r="H58" i="21" s="1"/>
  <c r="H57" i="21" s="1"/>
  <c r="H78" i="21"/>
  <c r="I12" i="21" s="1"/>
  <c r="I10" i="44"/>
  <c r="L69" i="40"/>
  <c r="K83" i="40"/>
  <c r="L70" i="40"/>
  <c r="H95" i="21"/>
  <c r="H94" i="21"/>
  <c r="I61" i="44" s="1"/>
  <c r="H92" i="21"/>
  <c r="H91" i="21" s="1"/>
  <c r="K98" i="40"/>
  <c r="L102" i="40"/>
  <c r="L103" i="40" s="1"/>
  <c r="L101" i="40" s="1"/>
  <c r="K99" i="40"/>
  <c r="I6" i="44"/>
  <c r="I5" i="44" l="1"/>
  <c r="I70" i="21"/>
  <c r="I79" i="21"/>
  <c r="H19" i="35"/>
  <c r="H97" i="21"/>
  <c r="I58" i="44"/>
  <c r="L106" i="40"/>
  <c r="L92" i="40" s="1"/>
  <c r="L87" i="40" s="1"/>
  <c r="L88" i="40" s="1"/>
  <c r="L94" i="40" s="1"/>
  <c r="L36" i="40"/>
  <c r="L68" i="40" s="1"/>
  <c r="I60" i="44"/>
  <c r="I59" i="44"/>
  <c r="I100" i="21"/>
  <c r="I101" i="21" s="1"/>
  <c r="I99" i="21" s="1"/>
  <c r="H96" i="21"/>
  <c r="I62" i="44" s="1"/>
  <c r="J7" i="44" l="1"/>
  <c r="I60" i="21"/>
  <c r="I13" i="21"/>
  <c r="I50" i="21"/>
  <c r="I52" i="21"/>
  <c r="I18" i="35"/>
  <c r="L96" i="40"/>
  <c r="L97" i="40"/>
  <c r="L77" i="40"/>
  <c r="L78" i="40"/>
  <c r="L26" i="35" s="1"/>
  <c r="L67" i="40"/>
  <c r="L58" i="40" s="1"/>
  <c r="L57" i="40" s="1"/>
  <c r="L95" i="40"/>
  <c r="L93" i="40" s="1"/>
  <c r="I36" i="21"/>
  <c r="I23" i="21" l="1"/>
  <c r="I30" i="21" s="1"/>
  <c r="J51" i="21" s="1"/>
  <c r="J13" i="44"/>
  <c r="L83" i="40"/>
  <c r="M69" i="40"/>
  <c r="M70" i="40"/>
  <c r="M102" i="40"/>
  <c r="M103" i="40" s="1"/>
  <c r="M101" i="40" s="1"/>
  <c r="L99" i="40"/>
  <c r="L98" i="40"/>
  <c r="I24" i="21" l="1"/>
  <c r="I62" i="21"/>
  <c r="J8" i="44" s="1"/>
  <c r="M106" i="40"/>
  <c r="M92" i="40" s="1"/>
  <c r="M36" i="40"/>
  <c r="I33" i="21" l="1"/>
  <c r="I103" i="21"/>
  <c r="I90" i="21" s="1"/>
  <c r="J16" i="44"/>
  <c r="I59" i="21"/>
  <c r="I69" i="21"/>
  <c r="M68" i="40"/>
  <c r="M78" i="40" s="1"/>
  <c r="M26" i="35" s="1"/>
  <c r="M87" i="40"/>
  <c r="M88" i="40" s="1"/>
  <c r="I68" i="21" l="1"/>
  <c r="I67" i="21" s="1"/>
  <c r="I58" i="21" s="1"/>
  <c r="I57" i="21" s="1"/>
  <c r="J18" i="44"/>
  <c r="I85" i="21"/>
  <c r="I86" i="21" s="1"/>
  <c r="I92" i="21" s="1"/>
  <c r="M67" i="40"/>
  <c r="M58" i="40" s="1"/>
  <c r="M57" i="40" s="1"/>
  <c r="N70" i="40" s="1"/>
  <c r="M77" i="40"/>
  <c r="M95" i="40"/>
  <c r="M94" i="40"/>
  <c r="M97" i="40"/>
  <c r="M96" i="40"/>
  <c r="I95" i="21" l="1"/>
  <c r="J5" i="44"/>
  <c r="I94" i="21"/>
  <c r="J61" i="44" s="1"/>
  <c r="I78" i="21"/>
  <c r="J12" i="21" s="1"/>
  <c r="J10" i="44"/>
  <c r="J70" i="21"/>
  <c r="I93" i="21"/>
  <c r="I91" i="21" s="1"/>
  <c r="I77" i="21"/>
  <c r="J58" i="44"/>
  <c r="J59" i="44"/>
  <c r="N69" i="40"/>
  <c r="M83" i="40"/>
  <c r="M93" i="40"/>
  <c r="M99" i="40" s="1"/>
  <c r="J60" i="44" l="1"/>
  <c r="I97" i="21"/>
  <c r="J100" i="21"/>
  <c r="J101" i="21" s="1"/>
  <c r="J99" i="21" s="1"/>
  <c r="J36" i="21" s="1"/>
  <c r="J6" i="44"/>
  <c r="I19" i="35"/>
  <c r="I96" i="21"/>
  <c r="J62" i="44" s="1"/>
  <c r="K13" i="44"/>
  <c r="N102" i="40"/>
  <c r="N103" i="40" s="1"/>
  <c r="N101" i="40" s="1"/>
  <c r="N106" i="40" s="1"/>
  <c r="N92" i="40" s="1"/>
  <c r="M98" i="40"/>
  <c r="J18" i="35" l="1"/>
  <c r="N36" i="40"/>
  <c r="N87" i="40"/>
  <c r="K7" i="44" l="1"/>
  <c r="J13" i="21"/>
  <c r="J60" i="21"/>
  <c r="J52" i="21"/>
  <c r="J20" i="35"/>
  <c r="J50" i="21"/>
  <c r="J79" i="21"/>
  <c r="N68" i="40"/>
  <c r="N77" i="40" s="1"/>
  <c r="N97" i="40"/>
  <c r="N96" i="40"/>
  <c r="N88" i="40"/>
  <c r="N94" i="40" s="1"/>
  <c r="J23" i="21" l="1"/>
  <c r="J24" i="21" s="1"/>
  <c r="K16" i="44" s="1"/>
  <c r="N67" i="40"/>
  <c r="N58" i="40" s="1"/>
  <c r="N57" i="40" s="1"/>
  <c r="N83" i="40" s="1"/>
  <c r="N78" i="40"/>
  <c r="N95" i="40"/>
  <c r="J30" i="21" l="1"/>
  <c r="K51" i="21" s="1"/>
  <c r="J103" i="21"/>
  <c r="J33" i="21"/>
  <c r="K18" i="44" s="1"/>
  <c r="O70" i="40"/>
  <c r="O69" i="40"/>
  <c r="N93" i="40"/>
  <c r="O102" i="40" s="1"/>
  <c r="O103" i="40" s="1"/>
  <c r="O101" i="40" s="1"/>
  <c r="O106" i="40" s="1"/>
  <c r="O92" i="40" s="1"/>
  <c r="J62" i="21" l="1"/>
  <c r="J90" i="21" s="1"/>
  <c r="J85" i="21" s="1"/>
  <c r="J86" i="21" s="1"/>
  <c r="J69" i="21"/>
  <c r="J68" i="21"/>
  <c r="K10" i="44" s="1"/>
  <c r="K8" i="44"/>
  <c r="N98" i="40"/>
  <c r="N99" i="40"/>
  <c r="O36" i="40"/>
  <c r="O68" i="40" s="1"/>
  <c r="O78" i="40" s="1"/>
  <c r="O87" i="40"/>
  <c r="J59" i="21" l="1"/>
  <c r="J77" i="21" s="1"/>
  <c r="J78" i="21"/>
  <c r="K12" i="21" s="1"/>
  <c r="J67" i="21"/>
  <c r="J92" i="21"/>
  <c r="J93" i="21"/>
  <c r="J95" i="21"/>
  <c r="J94" i="21"/>
  <c r="K61" i="44" s="1"/>
  <c r="O77" i="40"/>
  <c r="O67" i="40"/>
  <c r="O58" i="40" s="1"/>
  <c r="O57" i="40" s="1"/>
  <c r="O83" i="40" s="1"/>
  <c r="O88" i="40"/>
  <c r="O95" i="40" s="1"/>
  <c r="O97" i="40"/>
  <c r="O96" i="40"/>
  <c r="K6" i="44" l="1"/>
  <c r="J58" i="21"/>
  <c r="J57" i="21" s="1"/>
  <c r="K5" i="44"/>
  <c r="J19" i="35"/>
  <c r="K70" i="21"/>
  <c r="J91" i="21"/>
  <c r="J96" i="21" s="1"/>
  <c r="K62" i="44" s="1"/>
  <c r="P69" i="40"/>
  <c r="P70" i="40"/>
  <c r="K60" i="44"/>
  <c r="K59" i="44"/>
  <c r="O94" i="40"/>
  <c r="O93" i="40" s="1"/>
  <c r="O99" i="40" s="1"/>
  <c r="J97" i="21" l="1"/>
  <c r="K100" i="21"/>
  <c r="K101" i="21" s="1"/>
  <c r="K99" i="21" s="1"/>
  <c r="K58" i="44"/>
  <c r="P102" i="40"/>
  <c r="P103" i="40" s="1"/>
  <c r="P101" i="40" s="1"/>
  <c r="P106" i="40" s="1"/>
  <c r="P92" i="40" s="1"/>
  <c r="P87" i="40" s="1"/>
  <c r="O98" i="40"/>
  <c r="K36" i="21" l="1"/>
  <c r="P36" i="40"/>
  <c r="P68" i="40" s="1"/>
  <c r="P78" i="40" s="1"/>
  <c r="P97" i="40"/>
  <c r="P88" i="40"/>
  <c r="P95" i="40" s="1"/>
  <c r="P96" i="40"/>
  <c r="K79" i="21" l="1"/>
  <c r="K60" i="21"/>
  <c r="L13" i="44"/>
  <c r="K52" i="21"/>
  <c r="K13" i="21"/>
  <c r="L7" i="44"/>
  <c r="K50" i="21"/>
  <c r="K18" i="35"/>
  <c r="P67" i="40"/>
  <c r="P58" i="40" s="1"/>
  <c r="P57" i="40" s="1"/>
  <c r="P83" i="40" s="1"/>
  <c r="P77" i="40"/>
  <c r="P94" i="40"/>
  <c r="P93" i="40" s="1"/>
  <c r="K23" i="21" l="1"/>
  <c r="K30" i="21" s="1"/>
  <c r="K62" i="21" s="1"/>
  <c r="K59" i="21" s="1"/>
  <c r="Q69" i="40"/>
  <c r="Q70" i="40"/>
  <c r="P99" i="40"/>
  <c r="Q102" i="40"/>
  <c r="Q103" i="40" s="1"/>
  <c r="Q101" i="40" s="1"/>
  <c r="P98" i="40"/>
  <c r="L51" i="21" l="1"/>
  <c r="L8" i="44"/>
  <c r="K24" i="21"/>
  <c r="Q106" i="40"/>
  <c r="Q92" i="40" s="1"/>
  <c r="Q36" i="40"/>
  <c r="Q68" i="40" s="1"/>
  <c r="K103" i="21" l="1"/>
  <c r="K90" i="21" s="1"/>
  <c r="K85" i="21" s="1"/>
  <c r="K33" i="21"/>
  <c r="K68" i="21" s="1"/>
  <c r="K77" i="21" s="1"/>
  <c r="L16" i="44"/>
  <c r="L18" i="44"/>
  <c r="Q78" i="40"/>
  <c r="Q77" i="40"/>
  <c r="Q67" i="40"/>
  <c r="Q58" i="40" s="1"/>
  <c r="Q57" i="40" s="1"/>
  <c r="Q83" i="40" s="1"/>
  <c r="Q87" i="40"/>
  <c r="Q88" i="40" s="1"/>
  <c r="K86" i="21" l="1"/>
  <c r="K94" i="21"/>
  <c r="L61" i="44" s="1"/>
  <c r="K95" i="21"/>
  <c r="K92" i="21"/>
  <c r="K93" i="21"/>
  <c r="K69" i="21"/>
  <c r="K67" i="21" s="1"/>
  <c r="K58" i="21" s="1"/>
  <c r="K57" i="21" s="1"/>
  <c r="L6" i="44"/>
  <c r="K78" i="21"/>
  <c r="L12" i="21" s="1"/>
  <c r="L10" i="44"/>
  <c r="Q95" i="40"/>
  <c r="Q97" i="40"/>
  <c r="Q94" i="40"/>
  <c r="R69" i="40"/>
  <c r="R70" i="40"/>
  <c r="Q96" i="40"/>
  <c r="K91" i="21" l="1"/>
  <c r="K97" i="21"/>
  <c r="L58" i="44"/>
  <c r="L60" i="44"/>
  <c r="L59" i="44"/>
  <c r="L70" i="21"/>
  <c r="L5" i="44"/>
  <c r="K19" i="35"/>
  <c r="K96" i="21"/>
  <c r="L62" i="44" s="1"/>
  <c r="L100" i="21"/>
  <c r="L101" i="21" s="1"/>
  <c r="L99" i="21" s="1"/>
  <c r="Q93" i="40"/>
  <c r="R102" i="40" s="1"/>
  <c r="R103" i="40" s="1"/>
  <c r="R101" i="40" s="1"/>
  <c r="Q99" i="40" l="1"/>
  <c r="Q98" i="40"/>
  <c r="L36" i="21"/>
  <c r="R106" i="40"/>
  <c r="R92" i="40" s="1"/>
  <c r="R36" i="40"/>
  <c r="R68" i="40" s="1"/>
  <c r="M13" i="44" l="1"/>
  <c r="R78" i="40"/>
  <c r="R77" i="40"/>
  <c r="R67" i="40"/>
  <c r="R58" i="40" s="1"/>
  <c r="R57" i="40" s="1"/>
  <c r="R83" i="40" s="1"/>
  <c r="R87" i="40"/>
  <c r="R88" i="40" s="1"/>
  <c r="R95" i="40" s="1"/>
  <c r="R94" i="40" l="1"/>
  <c r="R93" i="40" s="1"/>
  <c r="R96" i="40"/>
  <c r="R97" i="40"/>
  <c r="S70" i="40"/>
  <c r="S69" i="40"/>
  <c r="M7" i="44" l="1"/>
  <c r="L13" i="21"/>
  <c r="L52" i="21"/>
  <c r="L60" i="21"/>
  <c r="L18" i="35"/>
  <c r="L50" i="21"/>
  <c r="L79" i="21"/>
  <c r="S102" i="40"/>
  <c r="S103" i="40" s="1"/>
  <c r="S101" i="40" s="1"/>
  <c r="S36" i="40" s="1"/>
  <c r="S68" i="40" s="1"/>
  <c r="R98" i="40"/>
  <c r="R99" i="40"/>
  <c r="L23" i="21" l="1"/>
  <c r="L30" i="21" s="1"/>
  <c r="L62" i="21" s="1"/>
  <c r="S106" i="40"/>
  <c r="S92" i="40" s="1"/>
  <c r="S87" i="40" s="1"/>
  <c r="S88" i="40" s="1"/>
  <c r="M51" i="21"/>
  <c r="S67" i="40"/>
  <c r="S58" i="40" s="1"/>
  <c r="S57" i="40" s="1"/>
  <c r="S83" i="40" s="1"/>
  <c r="S77" i="40"/>
  <c r="S78" i="40"/>
  <c r="L24" i="21" l="1"/>
  <c r="L59" i="21"/>
  <c r="M8" i="44"/>
  <c r="M16" i="44"/>
  <c r="L33" i="21"/>
  <c r="L103" i="21"/>
  <c r="L90" i="21" s="1"/>
  <c r="S95" i="40"/>
  <c r="S97" i="40"/>
  <c r="S96" i="40"/>
  <c r="S94" i="40"/>
  <c r="T70" i="40"/>
  <c r="T69" i="40"/>
  <c r="L85" i="21" l="1"/>
  <c r="L95" i="21" s="1"/>
  <c r="L68" i="21"/>
  <c r="L77" i="21" s="1"/>
  <c r="M18" i="44"/>
  <c r="S93" i="40"/>
  <c r="S98" i="40" s="1"/>
  <c r="L69" i="21"/>
  <c r="L94" i="21" l="1"/>
  <c r="L86" i="21"/>
  <c r="L93" i="21" s="1"/>
  <c r="L67" i="21"/>
  <c r="L58" i="21" s="1"/>
  <c r="L57" i="21" s="1"/>
  <c r="S99" i="40"/>
  <c r="M6" i="44"/>
  <c r="L78" i="21"/>
  <c r="M12" i="21" s="1"/>
  <c r="M10" i="44"/>
  <c r="T102" i="40"/>
  <c r="T103" i="40" s="1"/>
  <c r="T101" i="40" s="1"/>
  <c r="T106" i="40" s="1"/>
  <c r="T92" i="40" s="1"/>
  <c r="T87" i="40" s="1"/>
  <c r="T97" i="40" s="1"/>
  <c r="L92" i="21"/>
  <c r="M61" i="44" l="1"/>
  <c r="M5" i="44"/>
  <c r="M70" i="21"/>
  <c r="L91" i="21"/>
  <c r="T36" i="40"/>
  <c r="L19" i="35"/>
  <c r="T96" i="40"/>
  <c r="T88" i="40"/>
  <c r="L96" i="21" l="1"/>
  <c r="M62" i="44" s="1"/>
  <c r="M58" i="44"/>
  <c r="M59" i="44"/>
  <c r="M60" i="44"/>
  <c r="T68" i="40"/>
  <c r="T78" i="40" s="1"/>
  <c r="L97" i="21"/>
  <c r="M100" i="21"/>
  <c r="M101" i="21" s="1"/>
  <c r="M99" i="21" s="1"/>
  <c r="M36" i="21" s="1"/>
  <c r="T94" i="40"/>
  <c r="T95" i="40"/>
  <c r="T67" i="40" l="1"/>
  <c r="T58" i="40" s="1"/>
  <c r="T57" i="40" s="1"/>
  <c r="T83" i="40" s="1"/>
  <c r="T77" i="40"/>
  <c r="N13" i="44"/>
  <c r="T93" i="40"/>
  <c r="T98" i="40" s="1"/>
  <c r="U69" i="40" l="1"/>
  <c r="U70" i="40"/>
  <c r="M79" i="21"/>
  <c r="D81" i="21" s="1"/>
  <c r="N7" i="44"/>
  <c r="T99" i="40"/>
  <c r="U102" i="40"/>
  <c r="U103" i="40" s="1"/>
  <c r="U101" i="40" s="1"/>
  <c r="U106" i="40" s="1"/>
  <c r="U92" i="40" s="1"/>
  <c r="U87" i="40" s="1"/>
  <c r="U96" i="40" s="1"/>
  <c r="M20" i="35"/>
  <c r="M13" i="21" l="1"/>
  <c r="M52" i="21"/>
  <c r="M60" i="21"/>
  <c r="M18" i="35"/>
  <c r="J12" i="35" s="1"/>
  <c r="N12" i="21"/>
  <c r="N79" i="21" s="1"/>
  <c r="M50" i="21"/>
  <c r="N50" i="21" s="1"/>
  <c r="U36" i="40"/>
  <c r="U68" i="40" s="1"/>
  <c r="U77" i="40" s="1"/>
  <c r="U88" i="40"/>
  <c r="U94" i="40" s="1"/>
  <c r="U97" i="40"/>
  <c r="N60" i="21"/>
  <c r="N52" i="21" l="1"/>
  <c r="O7" i="44"/>
  <c r="N13" i="21"/>
  <c r="M23" i="21"/>
  <c r="M24" i="21" s="1"/>
  <c r="N16" i="44" s="1"/>
  <c r="O12" i="21"/>
  <c r="O79" i="21" s="1"/>
  <c r="U67" i="40"/>
  <c r="U58" i="40" s="1"/>
  <c r="U57" i="40" s="1"/>
  <c r="U83" i="40" s="1"/>
  <c r="U78" i="40"/>
  <c r="U95" i="40"/>
  <c r="U93" i="40" s="1"/>
  <c r="V102" i="40" s="1"/>
  <c r="V103" i="40" s="1"/>
  <c r="V101" i="40" s="1"/>
  <c r="M103" i="21" l="1"/>
  <c r="O60" i="21"/>
  <c r="O52" i="21"/>
  <c r="M33" i="21"/>
  <c r="M68" i="21" s="1"/>
  <c r="P7" i="44"/>
  <c r="P12" i="21"/>
  <c r="P79" i="21" s="1"/>
  <c r="M30" i="21"/>
  <c r="O51" i="21" s="1"/>
  <c r="O13" i="21"/>
  <c r="O50" i="21"/>
  <c r="P50" i="21" s="1"/>
  <c r="V70" i="40"/>
  <c r="V69" i="40"/>
  <c r="N18" i="44"/>
  <c r="U98" i="40"/>
  <c r="U99" i="40"/>
  <c r="M69" i="21"/>
  <c r="V36" i="40"/>
  <c r="V68" i="40" s="1"/>
  <c r="V106" i="40"/>
  <c r="N51" i="21" l="1"/>
  <c r="N23" i="21" s="1"/>
  <c r="M62" i="21"/>
  <c r="M59" i="21" s="1"/>
  <c r="M77" i="21" s="1"/>
  <c r="Q12" i="21"/>
  <c r="Q79" i="21" s="1"/>
  <c r="Q7" i="44"/>
  <c r="P13" i="21"/>
  <c r="O23" i="21"/>
  <c r="O24" i="21" s="1"/>
  <c r="M67" i="21"/>
  <c r="N30" i="21"/>
  <c r="N62" i="21" s="1"/>
  <c r="O8" i="44" s="1"/>
  <c r="N24" i="21"/>
  <c r="Q50" i="21"/>
  <c r="N8" i="44"/>
  <c r="R7" i="44"/>
  <c r="M78" i="21"/>
  <c r="N10" i="44"/>
  <c r="Q13" i="21"/>
  <c r="M90" i="21"/>
  <c r="V92" i="40"/>
  <c r="V78" i="40"/>
  <c r="V67" i="40"/>
  <c r="V58" i="40" s="1"/>
  <c r="V57" i="40" s="1"/>
  <c r="V77" i="40"/>
  <c r="R12" i="21" l="1"/>
  <c r="R79" i="21" s="1"/>
  <c r="O30" i="21"/>
  <c r="O62" i="21" s="1"/>
  <c r="O16" i="44"/>
  <c r="N33" i="21"/>
  <c r="O18" i="44" s="1"/>
  <c r="N59" i="21"/>
  <c r="M58" i="21"/>
  <c r="M57" i="21" s="1"/>
  <c r="S7" i="44"/>
  <c r="M85" i="21"/>
  <c r="M86" i="21" s="1"/>
  <c r="M93" i="21" s="1"/>
  <c r="S12" i="21"/>
  <c r="S79" i="21" s="1"/>
  <c r="R13" i="21"/>
  <c r="M19" i="35"/>
  <c r="P16" i="44"/>
  <c r="N6" i="44"/>
  <c r="V83" i="40"/>
  <c r="V87" i="40"/>
  <c r="V88" i="40" s="1"/>
  <c r="V95" i="40" s="1"/>
  <c r="W69" i="40"/>
  <c r="W70" i="40"/>
  <c r="P51" i="21"/>
  <c r="O33" i="21"/>
  <c r="P18" i="44" s="1"/>
  <c r="R50" i="21" l="1"/>
  <c r="T12" i="21"/>
  <c r="T79" i="21" s="1"/>
  <c r="N70" i="21"/>
  <c r="M94" i="21"/>
  <c r="M95" i="21"/>
  <c r="S50" i="21"/>
  <c r="N5" i="44"/>
  <c r="M92" i="21"/>
  <c r="N69" i="21"/>
  <c r="S13" i="21"/>
  <c r="T7" i="44"/>
  <c r="O59" i="21"/>
  <c r="P8" i="44"/>
  <c r="V96" i="40"/>
  <c r="V94" i="40"/>
  <c r="V93" i="40" s="1"/>
  <c r="V97" i="40"/>
  <c r="N61" i="44" l="1"/>
  <c r="U7" i="44"/>
  <c r="T13" i="21"/>
  <c r="U12" i="21"/>
  <c r="U79" i="21" s="1"/>
  <c r="T50" i="21"/>
  <c r="M91" i="21"/>
  <c r="V99" i="40"/>
  <c r="W102" i="40"/>
  <c r="W103" i="40" s="1"/>
  <c r="W101" i="40" s="1"/>
  <c r="V98" i="40"/>
  <c r="U13" i="21" l="1"/>
  <c r="V12" i="21"/>
  <c r="V79" i="21" s="1"/>
  <c r="V7" i="44"/>
  <c r="M97" i="21"/>
  <c r="N58" i="44"/>
  <c r="U50" i="21"/>
  <c r="N60" i="44"/>
  <c r="M96" i="21"/>
  <c r="N62" i="44" s="1"/>
  <c r="N59" i="44"/>
  <c r="N100" i="21"/>
  <c r="N101" i="21" s="1"/>
  <c r="N99" i="21" s="1"/>
  <c r="N103" i="21" s="1"/>
  <c r="N90" i="21" s="1"/>
  <c r="W36" i="40"/>
  <c r="W106" i="40"/>
  <c r="W92" i="40" s="1"/>
  <c r="W87" i="40" s="1"/>
  <c r="W96" i="40" s="1"/>
  <c r="P52" i="21"/>
  <c r="P60" i="21"/>
  <c r="V13" i="21" l="1"/>
  <c r="W12" i="21"/>
  <c r="W79" i="21" s="1"/>
  <c r="W7" i="44"/>
  <c r="V50" i="21"/>
  <c r="N85" i="21"/>
  <c r="N95" i="21" s="1"/>
  <c r="N36" i="21"/>
  <c r="W68" i="40"/>
  <c r="W67" i="40" s="1"/>
  <c r="W58" i="40" s="1"/>
  <c r="W57" i="40" s="1"/>
  <c r="W88" i="40"/>
  <c r="W95" i="40" s="1"/>
  <c r="W97" i="40"/>
  <c r="P23" i="21"/>
  <c r="W83" i="40" l="1"/>
  <c r="I13" i="35"/>
  <c r="X7" i="44"/>
  <c r="W13" i="21"/>
  <c r="W50" i="21"/>
  <c r="O13" i="44"/>
  <c r="N68" i="21"/>
  <c r="N67" i="21" s="1"/>
  <c r="N58" i="21" s="1"/>
  <c r="N57" i="21" s="1"/>
  <c r="N94" i="21"/>
  <c r="N86" i="21"/>
  <c r="N93" i="21" s="1"/>
  <c r="W77" i="40"/>
  <c r="H13" i="35" s="1"/>
  <c r="W78" i="40"/>
  <c r="W94" i="40"/>
  <c r="P24" i="21"/>
  <c r="P30" i="21"/>
  <c r="K13" i="35" l="1"/>
  <c r="O10" i="44"/>
  <c r="N77" i="21"/>
  <c r="N78" i="21"/>
  <c r="N92" i="21"/>
  <c r="O5" i="44"/>
  <c r="O69" i="21"/>
  <c r="O70" i="21"/>
  <c r="Q16" i="44"/>
  <c r="W93" i="40"/>
  <c r="W99" i="40" s="1"/>
  <c r="P62" i="21"/>
  <c r="Q51" i="21"/>
  <c r="P33" i="21"/>
  <c r="Q18" i="44" s="1"/>
  <c r="O6" i="44" l="1"/>
  <c r="O61" i="44"/>
  <c r="N91" i="21"/>
  <c r="P59" i="21"/>
  <c r="Q8" i="44"/>
  <c r="W98" i="40"/>
  <c r="O59" i="44" l="1"/>
  <c r="O58" i="44"/>
  <c r="O60" i="44"/>
  <c r="N96" i="21"/>
  <c r="O62" i="44" s="1"/>
  <c r="O100" i="21"/>
  <c r="O101" i="21" s="1"/>
  <c r="O99" i="21" s="1"/>
  <c r="N97" i="21"/>
  <c r="O36" i="21" l="1"/>
  <c r="O103" i="21"/>
  <c r="O90" i="21" s="1"/>
  <c r="Q60" i="21"/>
  <c r="Q52" i="21"/>
  <c r="O85" i="21" l="1"/>
  <c r="O94" i="21" s="1"/>
  <c r="O68" i="21"/>
  <c r="P13" i="44"/>
  <c r="Q23" i="21"/>
  <c r="P10" i="44" l="1"/>
  <c r="O67" i="21"/>
  <c r="O58" i="21" s="1"/>
  <c r="O57" i="21" s="1"/>
  <c r="O78" i="21"/>
  <c r="O77" i="21"/>
  <c r="O95" i="21"/>
  <c r="O86" i="21"/>
  <c r="Q30" i="21"/>
  <c r="Q24" i="21"/>
  <c r="O92" i="21" l="1"/>
  <c r="O93" i="21"/>
  <c r="P6" i="44"/>
  <c r="P69" i="21"/>
  <c r="P70" i="21"/>
  <c r="P5" i="44"/>
  <c r="R16" i="44"/>
  <c r="Q62" i="21"/>
  <c r="R51" i="21"/>
  <c r="Q33" i="21"/>
  <c r="R18" i="44" s="1"/>
  <c r="P61" i="44" l="1"/>
  <c r="O91" i="21"/>
  <c r="Q59" i="21"/>
  <c r="R8" i="44"/>
  <c r="O96" i="21" l="1"/>
  <c r="P62" i="44" s="1"/>
  <c r="P58" i="44"/>
  <c r="P60" i="44"/>
  <c r="P59" i="44"/>
  <c r="P100" i="21"/>
  <c r="P101" i="21" s="1"/>
  <c r="P99" i="21" s="1"/>
  <c r="P103" i="21" s="1"/>
  <c r="P90" i="21" s="1"/>
  <c r="O97" i="21"/>
  <c r="P36" i="21" l="1"/>
  <c r="P85" i="21"/>
  <c r="P95" i="21" s="1"/>
  <c r="R52" i="21"/>
  <c r="R60" i="21"/>
  <c r="Q13" i="44" l="1"/>
  <c r="P68" i="21"/>
  <c r="P67" i="21" s="1"/>
  <c r="P58" i="21" s="1"/>
  <c r="P57" i="21" s="1"/>
  <c r="P94" i="21"/>
  <c r="P86" i="21"/>
  <c r="P92" i="21" s="1"/>
  <c r="R23" i="21"/>
  <c r="Q10" i="44" l="1"/>
  <c r="P78" i="21"/>
  <c r="P77" i="21"/>
  <c r="P93" i="21"/>
  <c r="Q61" i="44" s="1"/>
  <c r="Q69" i="21"/>
  <c r="Q5" i="44"/>
  <c r="Q70" i="21"/>
  <c r="R24" i="21"/>
  <c r="R30" i="21"/>
  <c r="Q6" i="44" l="1"/>
  <c r="P91" i="21"/>
  <c r="S16" i="44"/>
  <c r="R62" i="21"/>
  <c r="S51" i="21"/>
  <c r="R33" i="21"/>
  <c r="S18" i="44" s="1"/>
  <c r="Q60" i="44" l="1"/>
  <c r="Q58" i="44"/>
  <c r="Q59" i="44"/>
  <c r="Q100" i="21"/>
  <c r="Q101" i="21" s="1"/>
  <c r="Q99" i="21" s="1"/>
  <c r="Q103" i="21" s="1"/>
  <c r="Q90" i="21" s="1"/>
  <c r="P96" i="21"/>
  <c r="Q62" i="44" s="1"/>
  <c r="P97" i="21"/>
  <c r="R59" i="21"/>
  <c r="S8" i="44"/>
  <c r="Q36" i="21" l="1"/>
  <c r="Q85" i="21"/>
  <c r="R13" i="44" l="1"/>
  <c r="Q68" i="21"/>
  <c r="Q78" i="21" s="1"/>
  <c r="Q95" i="21"/>
  <c r="Q94" i="21"/>
  <c r="Q86" i="21"/>
  <c r="Q93" i="21" s="1"/>
  <c r="R10" i="44"/>
  <c r="Q67" i="21"/>
  <c r="Q58" i="21" s="1"/>
  <c r="Q57" i="21" s="1"/>
  <c r="S52" i="21"/>
  <c r="S60" i="21"/>
  <c r="Q77" i="21" l="1"/>
  <c r="Q92" i="21"/>
  <c r="R70" i="21"/>
  <c r="R5" i="44"/>
  <c r="R69" i="21"/>
  <c r="S23" i="21"/>
  <c r="R6" i="44" l="1"/>
  <c r="R61" i="44"/>
  <c r="Q91" i="21"/>
  <c r="S30" i="21"/>
  <c r="S24" i="21"/>
  <c r="R59" i="44" l="1"/>
  <c r="R58" i="44"/>
  <c r="R60" i="44"/>
  <c r="R100" i="21"/>
  <c r="R101" i="21" s="1"/>
  <c r="R99" i="21" s="1"/>
  <c r="Q96" i="21"/>
  <c r="R62" i="44" s="1"/>
  <c r="Q97" i="21"/>
  <c r="T16" i="44"/>
  <c r="S62" i="21"/>
  <c r="T51" i="21"/>
  <c r="S33" i="21"/>
  <c r="T18" i="44" s="1"/>
  <c r="R103" i="21" l="1"/>
  <c r="R90" i="21" s="1"/>
  <c r="R36" i="21"/>
  <c r="S59" i="21"/>
  <c r="T8" i="44"/>
  <c r="S13" i="44" l="1"/>
  <c r="R68" i="21"/>
  <c r="R85" i="21"/>
  <c r="R86" i="21" l="1"/>
  <c r="R93" i="21" s="1"/>
  <c r="R94" i="21"/>
  <c r="S10" i="44"/>
  <c r="R78" i="21"/>
  <c r="R77" i="21"/>
  <c r="R67" i="21"/>
  <c r="R58" i="21" s="1"/>
  <c r="R57" i="21" s="1"/>
  <c r="R95" i="21"/>
  <c r="T52" i="21"/>
  <c r="T60" i="21"/>
  <c r="R92" i="21" l="1"/>
  <c r="S60" i="44" s="1"/>
  <c r="S61" i="44"/>
  <c r="S6" i="44"/>
  <c r="S70" i="21"/>
  <c r="S5" i="44"/>
  <c r="S69" i="21"/>
  <c r="T23" i="21"/>
  <c r="R91" i="21" l="1"/>
  <c r="T24" i="21"/>
  <c r="T30" i="21"/>
  <c r="R97" i="21" l="1"/>
  <c r="S58" i="44"/>
  <c r="S59" i="44"/>
  <c r="R96" i="21"/>
  <c r="S62" i="44" s="1"/>
  <c r="S100" i="21"/>
  <c r="S101" i="21" s="1"/>
  <c r="S99" i="21" s="1"/>
  <c r="S36" i="21" s="1"/>
  <c r="U16" i="44"/>
  <c r="T62" i="21"/>
  <c r="U51" i="21"/>
  <c r="T33" i="21"/>
  <c r="S68" i="21" l="1"/>
  <c r="S67" i="21" s="1"/>
  <c r="S58" i="21" s="1"/>
  <c r="S57" i="21" s="1"/>
  <c r="T69" i="21" s="1"/>
  <c r="T13" i="44"/>
  <c r="S103" i="21"/>
  <c r="S90" i="21" s="1"/>
  <c r="T10" i="44"/>
  <c r="T59" i="21"/>
  <c r="U8" i="44"/>
  <c r="U18" i="44"/>
  <c r="S77" i="21" l="1"/>
  <c r="T6" i="44" s="1"/>
  <c r="S78" i="21"/>
  <c r="S85" i="21"/>
  <c r="S86" i="21" s="1"/>
  <c r="S93" i="21" s="1"/>
  <c r="T70" i="21"/>
  <c r="T5" i="44"/>
  <c r="S92" i="21" l="1"/>
  <c r="S91" i="21" s="1"/>
  <c r="T58" i="44" s="1"/>
  <c r="S95" i="21"/>
  <c r="S94" i="21"/>
  <c r="T61" i="44" s="1"/>
  <c r="T60" i="44"/>
  <c r="U60" i="21"/>
  <c r="U52" i="21"/>
  <c r="T59" i="44" l="1"/>
  <c r="S97" i="21"/>
  <c r="T100" i="21"/>
  <c r="T101" i="21" s="1"/>
  <c r="T99" i="21" s="1"/>
  <c r="T62" i="44"/>
  <c r="S96" i="21"/>
  <c r="U23" i="21"/>
  <c r="T103" i="21" l="1"/>
  <c r="T90" i="21" s="1"/>
  <c r="T85" i="21" s="1"/>
  <c r="T86" i="21" s="1"/>
  <c r="T36" i="21"/>
  <c r="U13" i="44"/>
  <c r="U30" i="21"/>
  <c r="U24" i="21"/>
  <c r="T68" i="21" l="1"/>
  <c r="T67" i="21" s="1"/>
  <c r="T58" i="21" s="1"/>
  <c r="T57" i="21" s="1"/>
  <c r="T93" i="21"/>
  <c r="T94" i="21"/>
  <c r="U61" i="44" s="1"/>
  <c r="T92" i="21"/>
  <c r="T95" i="21"/>
  <c r="U10" i="44"/>
  <c r="V16" i="44"/>
  <c r="U62" i="21"/>
  <c r="V51" i="21"/>
  <c r="U33" i="21"/>
  <c r="T77" i="21" l="1"/>
  <c r="T78" i="21"/>
  <c r="T91" i="21"/>
  <c r="T96" i="21" s="1"/>
  <c r="U62" i="44" s="1"/>
  <c r="U6" i="44"/>
  <c r="U60" i="44"/>
  <c r="U70" i="21"/>
  <c r="U5" i="44"/>
  <c r="V18" i="44"/>
  <c r="U59" i="21"/>
  <c r="V8" i="44"/>
  <c r="U69" i="21"/>
  <c r="U100" i="21" l="1"/>
  <c r="U101" i="21" s="1"/>
  <c r="U99" i="21" s="1"/>
  <c r="T97" i="21"/>
  <c r="U59" i="44"/>
  <c r="U58" i="44"/>
  <c r="U36" i="21"/>
  <c r="U103" i="21"/>
  <c r="U90" i="21" s="1"/>
  <c r="U85" i="21" s="1"/>
  <c r="U86" i="21" s="1"/>
  <c r="U92" i="21" s="1"/>
  <c r="V13" i="44" l="1"/>
  <c r="U68" i="21"/>
  <c r="U93" i="21"/>
  <c r="U91" i="21" s="1"/>
  <c r="V59" i="44" s="1"/>
  <c r="U95" i="21"/>
  <c r="U94" i="21"/>
  <c r="V52" i="21"/>
  <c r="V60" i="21"/>
  <c r="V58" i="44" l="1"/>
  <c r="V61" i="44"/>
  <c r="V10" i="44"/>
  <c r="U78" i="21"/>
  <c r="U77" i="21"/>
  <c r="U67" i="21"/>
  <c r="U58" i="21" s="1"/>
  <c r="U57" i="21" s="1"/>
  <c r="V60" i="44"/>
  <c r="V100" i="21"/>
  <c r="V101" i="21" s="1"/>
  <c r="U97" i="21"/>
  <c r="V23" i="21"/>
  <c r="U96" i="21"/>
  <c r="V62" i="44" s="1"/>
  <c r="V70" i="21" l="1"/>
  <c r="V5" i="44"/>
  <c r="V6" i="44"/>
  <c r="V99" i="21"/>
  <c r="V24" i="21"/>
  <c r="V30" i="21"/>
  <c r="V36" i="21" l="1"/>
  <c r="W16" i="44"/>
  <c r="V103" i="21"/>
  <c r="V62" i="21"/>
  <c r="W51" i="21"/>
  <c r="V33" i="21"/>
  <c r="W13" i="44" l="1"/>
  <c r="V68" i="21"/>
  <c r="W10" i="44" s="1"/>
  <c r="W18" i="44"/>
  <c r="V59" i="21"/>
  <c r="W8" i="44"/>
  <c r="V90" i="21"/>
  <c r="V69" i="21"/>
  <c r="V67" i="21" l="1"/>
  <c r="V78" i="21"/>
  <c r="V77" i="21"/>
  <c r="V58" i="21"/>
  <c r="V57" i="21" s="1"/>
  <c r="W5" i="44" s="1"/>
  <c r="V85" i="21"/>
  <c r="V86" i="21" s="1"/>
  <c r="V93" i="21" s="1"/>
  <c r="W6" i="44" l="1"/>
  <c r="W70" i="21"/>
  <c r="V94" i="21"/>
  <c r="V95" i="21"/>
  <c r="V92" i="21"/>
  <c r="W60" i="21"/>
  <c r="W52" i="21"/>
  <c r="W61" i="44" l="1"/>
  <c r="V91" i="21"/>
  <c r="W23" i="21"/>
  <c r="W30" i="21" s="1"/>
  <c r="W62" i="21" s="1"/>
  <c r="X8" i="44" s="1"/>
  <c r="V96" i="21" l="1"/>
  <c r="W62" i="44" s="1"/>
  <c r="W58" i="44"/>
  <c r="W100" i="21"/>
  <c r="W101" i="21" s="1"/>
  <c r="W99" i="21" s="1"/>
  <c r="W60" i="44"/>
  <c r="W59" i="44"/>
  <c r="V97" i="21"/>
  <c r="W24" i="21"/>
  <c r="W59" i="21"/>
  <c r="W36" i="21" l="1"/>
  <c r="X16" i="44"/>
  <c r="W103" i="21"/>
  <c r="W90" i="21" s="1"/>
  <c r="W33" i="21"/>
  <c r="X13" i="44" l="1"/>
  <c r="W85" i="21"/>
  <c r="W86" i="21" s="1"/>
  <c r="W93" i="21" s="1"/>
  <c r="W68" i="21"/>
  <c r="W77" i="21" s="1"/>
  <c r="H12" i="35" s="1"/>
  <c r="X18" i="44"/>
  <c r="W69" i="21"/>
  <c r="W95" i="21" l="1"/>
  <c r="W92" i="21"/>
  <c r="W91" i="21" s="1"/>
  <c r="W94" i="21"/>
  <c r="X61" i="44" s="1"/>
  <c r="W67" i="21"/>
  <c r="W58" i="21" s="1"/>
  <c r="W57" i="21" s="1"/>
  <c r="I12" i="35" s="1"/>
  <c r="K12" i="35" s="1"/>
  <c r="X6" i="44"/>
  <c r="W78" i="21"/>
  <c r="X10" i="44"/>
  <c r="X5" i="44" l="1"/>
  <c r="W97" i="21"/>
  <c r="X58" i="44"/>
  <c r="X60" i="44"/>
  <c r="X59" i="44"/>
  <c r="W96" i="21"/>
  <c r="X62" i="44" s="1"/>
  <c r="H96" i="9" l="1"/>
  <c r="H101" i="9" s="1"/>
  <c r="H87" i="9" s="1"/>
  <c r="H35" i="9" l="1"/>
  <c r="H67" i="9" l="1"/>
  <c r="H77" i="9" s="1"/>
  <c r="I48" i="44"/>
  <c r="H83" i="9"/>
  <c r="H84" i="9" s="1"/>
  <c r="H90" i="9" s="1"/>
  <c r="H91" i="9" l="1"/>
  <c r="H66" i="9"/>
  <c r="H57" i="9" s="1"/>
  <c r="H56" i="9" s="1"/>
  <c r="I41" i="44" s="1"/>
  <c r="H92" i="9"/>
  <c r="H76" i="9"/>
  <c r="I42" i="44" s="1"/>
  <c r="I45" i="44"/>
  <c r="H89" i="9"/>
  <c r="H88" i="9" s="1"/>
  <c r="H94" i="9" l="1"/>
  <c r="I68" i="9"/>
  <c r="I69" i="9"/>
  <c r="H93" i="9"/>
  <c r="I97" i="9"/>
  <c r="I98" i="9" s="1"/>
  <c r="I96" i="9" l="1"/>
  <c r="I101" i="9" l="1"/>
  <c r="I87" i="9" s="1"/>
  <c r="I35" i="9"/>
  <c r="I67" i="9" l="1"/>
  <c r="J45" i="44" s="1"/>
  <c r="J48" i="44"/>
  <c r="I83" i="9"/>
  <c r="I84" i="9" s="1"/>
  <c r="I89" i="9" s="1"/>
  <c r="I77" i="9" l="1"/>
  <c r="I76" i="9"/>
  <c r="J42" i="44" s="1"/>
  <c r="I66" i="9"/>
  <c r="I57" i="9" s="1"/>
  <c r="I56" i="9" s="1"/>
  <c r="J68" i="9" s="1"/>
  <c r="I90" i="9"/>
  <c r="I88" i="9" s="1"/>
  <c r="I92" i="9"/>
  <c r="I91" i="9"/>
  <c r="J41" i="44"/>
  <c r="J69" i="9" l="1"/>
  <c r="J97" i="9"/>
  <c r="J98" i="9" s="1"/>
  <c r="J96" i="9" s="1"/>
  <c r="J101" i="9" s="1"/>
  <c r="J87" i="9" s="1"/>
  <c r="I94" i="9"/>
  <c r="I93" i="9"/>
  <c r="J35" i="9" l="1"/>
  <c r="J67" i="9" s="1"/>
  <c r="J77" i="9" s="1"/>
  <c r="J83" i="9"/>
  <c r="J84" i="9" s="1"/>
  <c r="J90" i="9" s="1"/>
  <c r="K48" i="44" l="1"/>
  <c r="J66" i="9"/>
  <c r="J57" i="9" s="1"/>
  <c r="J56" i="9" s="1"/>
  <c r="K41" i="44" s="1"/>
  <c r="J76" i="9"/>
  <c r="K42" i="44" s="1"/>
  <c r="K45" i="44"/>
  <c r="J92" i="9"/>
  <c r="J89" i="9"/>
  <c r="J88" i="9" s="1"/>
  <c r="J91" i="9"/>
  <c r="K69" i="9"/>
  <c r="K68" i="9" l="1"/>
  <c r="K97" i="9"/>
  <c r="K98" i="9" s="1"/>
  <c r="K96" i="9" s="1"/>
  <c r="J93" i="9"/>
  <c r="J94" i="9"/>
  <c r="K101" i="9" l="1"/>
  <c r="K87" i="9" s="1"/>
  <c r="K35" i="9"/>
  <c r="K67" i="9" l="1"/>
  <c r="K77" i="9" s="1"/>
  <c r="L48" i="44"/>
  <c r="K83" i="9"/>
  <c r="K84" i="9" s="1"/>
  <c r="K89" i="9" s="1"/>
  <c r="K66" i="9"/>
  <c r="K57" i="9" s="1"/>
  <c r="K56" i="9" s="1"/>
  <c r="L41" i="44" s="1"/>
  <c r="K76" i="9" l="1"/>
  <c r="L42" i="44" s="1"/>
  <c r="L45" i="44"/>
  <c r="K92" i="9"/>
  <c r="K91" i="9"/>
  <c r="K90" i="9"/>
  <c r="K88" i="9" s="1"/>
  <c r="L68" i="9"/>
  <c r="L69" i="9"/>
  <c r="L97" i="9" l="1"/>
  <c r="L98" i="9" s="1"/>
  <c r="L96" i="9" s="1"/>
  <c r="L101" i="9" s="1"/>
  <c r="L87" i="9" s="1"/>
  <c r="K94" i="9"/>
  <c r="K93" i="9"/>
  <c r="L35" i="9" l="1"/>
  <c r="L67" i="9" l="1"/>
  <c r="L77" i="9" s="1"/>
  <c r="M48" i="44"/>
  <c r="L83" i="9"/>
  <c r="L84" i="9" s="1"/>
  <c r="L66" i="9" l="1"/>
  <c r="L57" i="9" s="1"/>
  <c r="L56" i="9" s="1"/>
  <c r="M41" i="44" s="1"/>
  <c r="L76" i="9"/>
  <c r="M42" i="44" s="1"/>
  <c r="M45" i="44"/>
  <c r="L92" i="9"/>
  <c r="L90" i="9"/>
  <c r="L89" i="9"/>
  <c r="L91" i="9"/>
  <c r="M68" i="9" l="1"/>
  <c r="M69" i="9"/>
  <c r="L88" i="9"/>
  <c r="L94" i="9" s="1"/>
  <c r="L93" i="9" l="1"/>
  <c r="M97" i="9"/>
  <c r="M98" i="9" s="1"/>
  <c r="M96" i="9" s="1"/>
  <c r="M101" i="9" l="1"/>
  <c r="M87" i="9" s="1"/>
  <c r="M35" i="9"/>
  <c r="M67" i="9" l="1"/>
  <c r="M77" i="9" s="1"/>
  <c r="N48" i="44"/>
  <c r="M83" i="9"/>
  <c r="M84" i="9" s="1"/>
  <c r="M89" i="9" s="1"/>
  <c r="M66" i="9" l="1"/>
  <c r="M57" i="9" s="1"/>
  <c r="M56" i="9" s="1"/>
  <c r="M76" i="9"/>
  <c r="N42" i="44" s="1"/>
  <c r="N45" i="44"/>
  <c r="M92" i="9"/>
  <c r="M91" i="9"/>
  <c r="M90" i="9"/>
  <c r="M88" i="9" s="1"/>
  <c r="N69" i="9"/>
  <c r="N68" i="9"/>
  <c r="N41" i="44" l="1"/>
  <c r="N97" i="9"/>
  <c r="N98" i="9" s="1"/>
  <c r="M94" i="9"/>
  <c r="M93" i="9"/>
  <c r="N96" i="9" l="1"/>
  <c r="N101" i="9" s="1"/>
  <c r="N87" i="9" s="1"/>
  <c r="N35" i="9" l="1"/>
  <c r="N67" i="9" l="1"/>
  <c r="O45" i="44" s="1"/>
  <c r="O48" i="44"/>
  <c r="N83" i="9"/>
  <c r="N66" i="9" l="1"/>
  <c r="N57" i="9" s="1"/>
  <c r="N56" i="9" s="1"/>
  <c r="N77" i="9"/>
  <c r="N76" i="9"/>
  <c r="O42" i="44" s="1"/>
  <c r="N92" i="9"/>
  <c r="N91" i="9"/>
  <c r="N84" i="9"/>
  <c r="N90" i="9" s="1"/>
  <c r="O41" i="44" l="1"/>
  <c r="O69" i="9"/>
  <c r="O68" i="9"/>
  <c r="N89" i="9"/>
  <c r="N88" i="9" l="1"/>
  <c r="N94" i="9" s="1"/>
  <c r="O97" i="9" l="1"/>
  <c r="O98" i="9" s="1"/>
  <c r="O96" i="9" s="1"/>
  <c r="N93" i="9"/>
  <c r="O35" i="9" l="1"/>
  <c r="O101" i="9"/>
  <c r="O87" i="9" s="1"/>
  <c r="O67" i="9" l="1"/>
  <c r="O66" i="9" s="1"/>
  <c r="O57" i="9" s="1"/>
  <c r="O56" i="9" s="1"/>
  <c r="P69" i="9" s="1"/>
  <c r="P48" i="44"/>
  <c r="O83" i="9"/>
  <c r="O84" i="9" s="1"/>
  <c r="O76" i="9" l="1"/>
  <c r="P42" i="44" s="1"/>
  <c r="P41" i="44"/>
  <c r="O77" i="9"/>
  <c r="P45" i="44"/>
  <c r="P68" i="9"/>
  <c r="O92" i="9"/>
  <c r="O89" i="9"/>
  <c r="O91" i="9"/>
  <c r="O90" i="9"/>
  <c r="O88" i="9" l="1"/>
  <c r="O94" i="9" s="1"/>
  <c r="O93" i="9" l="1"/>
  <c r="P97" i="9"/>
  <c r="P98" i="9" s="1"/>
  <c r="P96" i="9" s="1"/>
  <c r="P101" i="9" s="1"/>
  <c r="P87" i="9" s="1"/>
  <c r="P35" i="9" l="1"/>
  <c r="P83" i="9"/>
  <c r="P84" i="9" s="1"/>
  <c r="P90" i="9" s="1"/>
  <c r="P67" i="9" l="1"/>
  <c r="P66" i="9" s="1"/>
  <c r="P57" i="9" s="1"/>
  <c r="P56" i="9" s="1"/>
  <c r="Q48" i="44"/>
  <c r="P91" i="9"/>
  <c r="P92" i="9"/>
  <c r="P89" i="9"/>
  <c r="P88" i="9" s="1"/>
  <c r="P77" i="9" l="1"/>
  <c r="Q68" i="9"/>
  <c r="Q41" i="44"/>
  <c r="P76" i="9"/>
  <c r="Q42" i="44" s="1"/>
  <c r="Q45" i="44"/>
  <c r="Q69" i="9"/>
  <c r="P94" i="9"/>
  <c r="P93" i="9"/>
  <c r="Q97" i="9"/>
  <c r="Q98" i="9" s="1"/>
  <c r="Q96" i="9" s="1"/>
  <c r="Q101" i="9" s="1"/>
  <c r="Q87" i="9" s="1"/>
  <c r="Q35" i="9" l="1"/>
  <c r="Q67" i="9" l="1"/>
  <c r="R45" i="44" s="1"/>
  <c r="R48" i="44"/>
  <c r="Q83" i="9"/>
  <c r="Q84" i="9" s="1"/>
  <c r="Q76" i="9" l="1"/>
  <c r="R42" i="44" s="1"/>
  <c r="Q66" i="9"/>
  <c r="Q57" i="9" s="1"/>
  <c r="Q56" i="9" s="1"/>
  <c r="Q77" i="9"/>
  <c r="Q90" i="9"/>
  <c r="Q91" i="9"/>
  <c r="Q92" i="9"/>
  <c r="Q89" i="9"/>
  <c r="R69" i="9" l="1"/>
  <c r="R41" i="44"/>
  <c r="R68" i="9"/>
  <c r="Q88" i="9"/>
  <c r="Q93" i="9" s="1"/>
  <c r="Q94" i="9" l="1"/>
  <c r="R97" i="9"/>
  <c r="R98" i="9" s="1"/>
  <c r="R96" i="9" s="1"/>
  <c r="R101" i="9" s="1"/>
  <c r="R87" i="9" s="1"/>
  <c r="R35" i="9" l="1"/>
  <c r="R67" i="9" l="1"/>
  <c r="S45" i="44" s="1"/>
  <c r="S48" i="44"/>
  <c r="R83" i="9"/>
  <c r="R84" i="9" s="1"/>
  <c r="R77" i="9" l="1"/>
  <c r="R76" i="9"/>
  <c r="S42" i="44" s="1"/>
  <c r="R66" i="9"/>
  <c r="R57" i="9" s="1"/>
  <c r="R56" i="9" s="1"/>
  <c r="S41" i="44"/>
  <c r="R92" i="9"/>
  <c r="R90" i="9"/>
  <c r="R91" i="9"/>
  <c r="R89" i="9"/>
  <c r="S68" i="9" l="1"/>
  <c r="S69" i="9"/>
  <c r="R88" i="9"/>
  <c r="R94" i="9" s="1"/>
  <c r="S97" i="9" l="1"/>
  <c r="S98" i="9" s="1"/>
  <c r="S96" i="9" s="1"/>
  <c r="R93" i="9"/>
  <c r="S35" i="9" l="1"/>
  <c r="S101" i="9"/>
  <c r="S87" i="9" s="1"/>
  <c r="S67" i="9" l="1"/>
  <c r="S76" i="9" s="1"/>
  <c r="T42" i="44" s="1"/>
  <c r="T48" i="44"/>
  <c r="S83" i="9"/>
  <c r="S84" i="9" s="1"/>
  <c r="S77" i="9" l="1"/>
  <c r="S66" i="9"/>
  <c r="S57" i="9" s="1"/>
  <c r="S56" i="9" s="1"/>
  <c r="T45" i="44"/>
  <c r="S89" i="9"/>
  <c r="S92" i="9"/>
  <c r="S91" i="9"/>
  <c r="S90" i="9"/>
  <c r="T41" i="44" l="1"/>
  <c r="T68" i="9"/>
  <c r="T69" i="9"/>
  <c r="S88" i="9"/>
  <c r="S94" i="9" s="1"/>
  <c r="S93" i="9" l="1"/>
  <c r="T97" i="9"/>
  <c r="T98" i="9" s="1"/>
  <c r="T96" i="9" s="1"/>
  <c r="T35" i="9" s="1"/>
  <c r="T67" i="9" l="1"/>
  <c r="T66" i="9" s="1"/>
  <c r="T57" i="9" s="1"/>
  <c r="T56" i="9" s="1"/>
  <c r="U48" i="44"/>
  <c r="T101" i="9"/>
  <c r="T87" i="9" s="1"/>
  <c r="T77" i="9" l="1"/>
  <c r="T83" i="9"/>
  <c r="T84" i="9" s="1"/>
  <c r="T90" i="9" s="1"/>
  <c r="U41" i="44"/>
  <c r="T76" i="9"/>
  <c r="U42" i="44" s="1"/>
  <c r="U45" i="44"/>
  <c r="U69" i="9"/>
  <c r="U68" i="9"/>
  <c r="T92" i="9" l="1"/>
  <c r="T91" i="9"/>
  <c r="T89" i="9"/>
  <c r="T88" i="9" s="1"/>
  <c r="T93" i="9" l="1"/>
  <c r="T94" i="9"/>
  <c r="U97" i="9"/>
  <c r="U98" i="9" s="1"/>
  <c r="U96" i="9" s="1"/>
  <c r="U101" i="9" s="1"/>
  <c r="U87" i="9" s="1"/>
  <c r="U35" i="9" l="1"/>
  <c r="U83" i="9"/>
  <c r="U84" i="9" s="1"/>
  <c r="U67" i="9" l="1"/>
  <c r="U77" i="9" s="1"/>
  <c r="V48" i="44"/>
  <c r="U91" i="9"/>
  <c r="U92" i="9"/>
  <c r="U89" i="9"/>
  <c r="U90" i="9"/>
  <c r="U76" i="9" l="1"/>
  <c r="V42" i="44" s="1"/>
  <c r="U66" i="9"/>
  <c r="U57" i="9" s="1"/>
  <c r="U56" i="9" s="1"/>
  <c r="V45" i="44"/>
  <c r="U88" i="9"/>
  <c r="U93" i="9" s="1"/>
  <c r="V41" i="44" l="1"/>
  <c r="V69" i="9"/>
  <c r="V68" i="9"/>
  <c r="U94" i="9"/>
  <c r="V97" i="9"/>
  <c r="V98" i="9" s="1"/>
  <c r="V96" i="9" s="1"/>
  <c r="V35" i="9" l="1"/>
  <c r="V101" i="9"/>
  <c r="V87" i="9" s="1"/>
  <c r="V67" i="9" l="1"/>
  <c r="V77" i="9" s="1"/>
  <c r="W48" i="44"/>
  <c r="V83" i="9"/>
  <c r="V84" i="9" s="1"/>
  <c r="V66" i="9" l="1"/>
  <c r="V57" i="9" s="1"/>
  <c r="V56" i="9" s="1"/>
  <c r="W69" i="9" s="1"/>
  <c r="V76" i="9"/>
  <c r="W42" i="44" s="1"/>
  <c r="W45" i="44"/>
  <c r="V92" i="9"/>
  <c r="V91" i="9"/>
  <c r="V89" i="9"/>
  <c r="V90" i="9"/>
  <c r="W68" i="9" l="1"/>
  <c r="W41" i="44"/>
  <c r="V88" i="9"/>
  <c r="V93" i="9" s="1"/>
  <c r="W97" i="9" l="1"/>
  <c r="W98" i="9" s="1"/>
  <c r="W96" i="9" s="1"/>
  <c r="W101" i="9" s="1"/>
  <c r="V94" i="9"/>
  <c r="W35" i="9" l="1"/>
  <c r="W87" i="9"/>
  <c r="W67" i="9" l="1"/>
  <c r="W76" i="9" s="1"/>
  <c r="X42" i="44" s="1"/>
  <c r="X48" i="44"/>
  <c r="W83" i="9"/>
  <c r="W84" i="9" s="1"/>
  <c r="W77" i="9" l="1"/>
  <c r="W66" i="9"/>
  <c r="W57" i="9" s="1"/>
  <c r="W56" i="9" s="1"/>
  <c r="X45" i="44"/>
  <c r="W91" i="9"/>
  <c r="W90" i="9"/>
  <c r="W89" i="9"/>
  <c r="W92" i="9"/>
  <c r="X41" i="44" l="1"/>
  <c r="W88" i="9"/>
  <c r="W94" i="9" s="1"/>
  <c r="W93" i="9" l="1"/>
</calcChain>
</file>

<file path=xl/sharedStrings.xml><?xml version="1.0" encoding="utf-8"?>
<sst xmlns="http://schemas.openxmlformats.org/spreadsheetml/2006/main" count="482" uniqueCount="212">
  <si>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</si>
  <si>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</si>
  <si>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</si>
  <si>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</si>
  <si>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</si>
  <si>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</si>
  <si>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</si>
  <si>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</si>
  <si>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</si>
  <si>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</si>
  <si>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</si>
  <si>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</si>
  <si>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</si>
  <si>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</si>
  <si>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</si>
  <si>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</si>
  <si>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</si>
  <si>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</si>
  <si>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</si>
  <si>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</si>
  <si>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</si>
  <si>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</si>
  <si>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</si>
  <si>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</si>
  <si>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</si>
  <si>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</si>
  <si>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</si>
  <si>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</si>
  <si>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</si>
  <si>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</si>
  <si>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</si>
  <si>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</si>
  <si>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</si>
  <si>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</si>
  <si>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</si>
  <si>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</si>
  <si>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</si>
  <si>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</si>
  <si>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</si>
  <si>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</si>
  <si>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</si>
  <si>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</si>
  <si>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</si>
  <si>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</si>
  <si>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</si>
  <si>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</si>
  <si>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</si>
  <si>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</si>
  <si>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</si>
  <si>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</si>
  <si>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</si>
  <si>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</si>
  <si>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</si>
  <si>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</si>
  <si>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</si>
  <si>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Share of outstanding debt in total debt in 2022</t>
  </si>
  <si>
    <t>Derived from the model and made consistent with the short-term forecast.</t>
  </si>
  <si>
    <t>Share of new long-term debt in 2022</t>
  </si>
  <si>
    <t>Share of new short-term debt in 2022</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</si>
  <si>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</si>
  <si>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</si>
  <si>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</si>
  <si>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</si>
  <si>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</si>
  <si>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</si>
  <si>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</si>
  <si>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</si>
  <si>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</si>
  <si>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</si>
  <si>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</si>
  <si>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</si>
  <si>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</si>
  <si>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</si>
  <si>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</si>
  <si>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</si>
  <si>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</si>
  <si>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</si>
  <si>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</si>
  <si>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</si>
  <si>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</si>
  <si>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</si>
  <si>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</si>
  <si>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</si>
  <si>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</si>
  <si>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</si>
  <si>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</si>
  <si>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</si>
  <si>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</si>
  <si>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</si>
  <si>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</si>
  <si>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</si>
  <si>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</si>
  <si>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</si>
  <si>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</si>
  <si>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</si>
  <si>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</si>
  <si>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</si>
  <si>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</si>
  <si>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</si>
  <si>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</si>
  <si>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</si>
  <si>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</si>
  <si>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</si>
  <si>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</si>
  <si>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</si>
  <si>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</si>
  <si>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</si>
  <si>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</si>
  <si>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</si>
  <si>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</si>
  <si>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</si>
  <si>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</si>
  <si>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</si>
  <si>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</si>
  <si>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</si>
  <si>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</si>
  <si>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LU</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</si>
  <si>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</si>
  <si>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</si>
  <si>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</si>
  <si>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</si>
  <si>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</si>
  <si>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</si>
  <si>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</si>
  <si>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</si>
  <si>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</si>
  <si>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Annual adjustment (with safeguard)</t>
  </si>
  <si>
    <t>Annual adjustment (without safeguard)</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</si>
  <si>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</si>
  <si>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</si>
  <si>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</si>
  <si>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</si>
  <si>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Share of rolled-over long-term debt in 2022</t>
  </si>
  <si>
    <t>Share of rolled-over short-term debt in 2022</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</si>
  <si>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</si>
  <si>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</si>
  <si>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</si>
  <si>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</si>
  <si>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</si>
  <si>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</si>
  <si>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</si>
  <si>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</si>
  <si>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</si>
  <si>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</si>
  <si>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</si>
  <si>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</si>
  <si>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</si>
  <si>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</si>
  <si>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</si>
  <si>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</si>
  <si>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</si>
  <si>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</si>
  <si>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</si>
  <si>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</si>
  <si>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</si>
  <si>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</si>
  <si>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</si>
  <si>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</si>
  <si>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</si>
  <si>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</si>
  <si>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</si>
  <si>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</si>
  <si>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</si>
  <si>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</si>
  <si>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</si>
  <si>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</si>
  <si>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</si>
  <si>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</si>
  <si>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</si>
  <si>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</si>
  <si>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</si>
  <si>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t>SF24</t>
  </si>
  <si>
    <t>Real GDP growth assumptions (based on SF 2024 T+10 projections and AR 2024 projections)</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</si>
  <si>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</si>
  <si>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</si>
  <si>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</si>
  <si>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</si>
  <si>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</si>
  <si>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</si>
  <si>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</si>
  <si>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</si>
  <si>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</si>
  <si>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</si>
  <si>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</si>
  <si>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r>
      <t xml:space="preserve">Data reported in this file are based on the </t>
    </r>
    <r>
      <rPr>
        <i/>
        <sz val="11"/>
        <color rgb="FF0070C0"/>
        <rFont val="Calibri"/>
        <family val="2"/>
        <scheme val="minor"/>
      </rPr>
      <t>European Commission (EC) 2024 spring forecast</t>
    </r>
    <r>
      <rPr>
        <sz val="11"/>
        <color rgb="FF0070C0"/>
        <rFont val="Calibri"/>
        <family val="2"/>
        <scheme val="minor"/>
      </rPr>
      <t xml:space="preserve"> </t>
    </r>
    <r>
      <rPr>
        <i/>
        <sz val="11"/>
        <color rgb="FF0070C0"/>
        <rFont val="Calibri"/>
        <family val="2"/>
        <scheme val="minor"/>
      </rPr>
      <t>(SF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</si>
  <si>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1.</t>
  </si>
  <si>
    <t>2.</t>
  </si>
  <si>
    <t>Interest rates (SF 2024, %)</t>
  </si>
  <si>
    <t>Inflation (SF 2024, %)</t>
  </si>
  <si>
    <t>Net primary expenditure growth (SF 2024, %)</t>
  </si>
  <si>
    <t>Budget balance semi-elasticity</t>
  </si>
  <si>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</si>
  <si>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</si>
  <si>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</si>
  <si>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t>Subject to an excessive deficit procedure (EDP) (0-no/1-yes)</t>
  </si>
  <si>
    <t>Key fiscal variables (based on the Commission 2024 spring forecast ("SF 2024") T+2 forecast and the June 2024 report prepared under Art. 126(3) of the Treaty)</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</si>
  <si>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</si>
  <si>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</si>
  <si>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</si>
  <si>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</si>
  <si>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</si>
  <si>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</si>
  <si>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</si>
  <si>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</si>
  <si>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</si>
  <si>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</si>
  <si>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</si>
  <si>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</si>
  <si>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No extension (annual adjustment of -0.08)</t>
  </si>
  <si>
    <t>Extension (annual adjustment of -0.06)</t>
  </si>
  <si>
    <r>
      <t>The grey sheet "</t>
    </r>
    <r>
      <rPr>
        <b/>
        <sz val="11"/>
        <color rgb="FF0070C0"/>
        <rFont val="Calibri"/>
        <family val="2"/>
        <scheme val="minor"/>
      </rPr>
      <t>Criteria results</t>
    </r>
    <r>
      <rPr>
        <sz val="11"/>
        <color rgb="FF0070C0"/>
        <rFont val="Calibri"/>
        <family val="2"/>
        <scheme val="minor"/>
      </rPr>
      <t>" contains two main types of cells identified by different colours:</t>
    </r>
  </si>
  <si>
    <t>The sheet in blue provides, as a reference, the baseline no-fiscal-policy-change scenario. The background colour coding is the same as in the sheet "Input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</si>
</sst>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58">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2" fontId="21" fillId="10" borderId="0" xfId="0" applyNumberFormat="1" applyFont="1" applyFill="1" applyAlignment="1">
      <alignment horizontal="center"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21" fillId="2" borderId="0" xfId="0" applyNumberFormat="1" applyFont="1" applyFill="1"/>
    <xf numFmtId="165" fontId="0" fillId="2" borderId="12" xfId="0" applyNumberFormat="1" applyFill="1" applyBorder="1" applyAlignment="1">
      <alignment horizontal="center" vertical="top" wrapText="1"/>
    </xf>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5">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0"/>
  <sheetViews>
    <sheetView tabSelected="1" zoomScaleNormal="100" workbookViewId="0"/>
  </sheetViews>
  <sheetFormatPr defaultColWidth="9.28515625" defaultRowHeight="15" x14ac:dyDescent="0.25"/>
  <cols>
    <col min="1" max="3" width="9.28515625" style="196"/>
    <col min="4" max="4" width="7.28515625" style="196" customWidth="1"/>
    <col min="5" max="5" width="6.140625" style="196" customWidth="1"/>
    <col min="6" max="6" width="3.140625" style="196" customWidth="1"/>
    <col min="7" max="13" width="9.28515625" style="196"/>
    <col min="14" max="14" width="18.140625" style="196" customWidth="1"/>
    <col min="15" max="16384" width="9.28515625" style="196"/>
  </cols>
  <sheetData>
    <row r="2" spans="2:12" x14ac:dyDescent="0.25">
      <c r="B2" s="224"/>
      <c r="C2" s="223"/>
      <c r="D2" s="223"/>
      <c r="E2" s="223"/>
      <c r="F2" s="223"/>
      <c r="G2" s="227"/>
      <c r="H2" s="223"/>
      <c r="I2" s="223"/>
      <c r="J2" s="223"/>
      <c r="K2" s="223"/>
      <c r="L2" s="222"/>
    </row>
    <row r="3" spans="2:12" x14ac:dyDescent="0.25">
      <c r="B3" s="201"/>
      <c r="C3" s="226"/>
      <c r="D3" s="226"/>
      <c r="E3" s="226"/>
      <c r="F3" s="226"/>
      <c r="G3" s="220"/>
      <c r="H3" s="226"/>
      <c r="I3" s="226"/>
      <c r="J3" s="226"/>
      <c r="K3" s="226"/>
      <c r="L3" s="200"/>
    </row>
    <row r="4" spans="2:12" x14ac:dyDescent="0.25">
      <c r="B4" s="201"/>
      <c r="C4" s="226"/>
      <c r="D4" s="226"/>
      <c r="E4" s="226"/>
      <c r="F4" s="226"/>
      <c r="G4" s="221" t="s">
        <v>0</v>
      </c>
      <c r="H4" s="226"/>
      <c r="I4" s="226"/>
      <c r="J4" s="226"/>
      <c r="K4" s="226"/>
      <c r="L4" s="200"/>
    </row>
    <row r="5" spans="2:12" x14ac:dyDescent="0.25">
      <c r="B5" s="201"/>
      <c r="C5" s="226"/>
      <c r="D5" s="226"/>
      <c r="E5" s="226"/>
      <c r="F5" s="226"/>
      <c r="G5" s="220"/>
      <c r="H5" s="226"/>
      <c r="I5" s="226"/>
      <c r="J5" s="226"/>
      <c r="K5" s="226"/>
      <c r="L5" s="200"/>
    </row>
    <row r="6" spans="2:12" x14ac:dyDescent="0.25">
      <c r="B6" s="201"/>
      <c r="C6" s="226"/>
      <c r="D6" s="226"/>
      <c r="E6" s="226"/>
      <c r="F6" s="226"/>
      <c r="G6" s="220" t="s">
        <v>1</v>
      </c>
      <c r="H6" s="226"/>
      <c r="I6" s="226"/>
      <c r="J6" s="226"/>
      <c r="K6" s="226"/>
      <c r="L6" s="200"/>
    </row>
    <row r="7" spans="2:12" x14ac:dyDescent="0.25">
      <c r="B7" s="201"/>
      <c r="C7" s="226"/>
      <c r="D7" s="226"/>
      <c r="E7" s="226"/>
      <c r="F7" s="226"/>
      <c r="G7" s="220" t="s">
        <v>2</v>
      </c>
      <c r="H7" s="226"/>
      <c r="I7" s="226"/>
      <c r="J7" s="226"/>
      <c r="K7" s="226"/>
      <c r="L7" s="200"/>
    </row>
    <row r="8" spans="2:12" x14ac:dyDescent="0.25">
      <c r="B8" s="201"/>
      <c r="C8" s="226"/>
      <c r="D8" s="226"/>
      <c r="E8" s="226"/>
      <c r="F8" s="226"/>
      <c r="G8" s="144" t="s">
        <v>3</v>
      </c>
      <c r="H8" s="226"/>
      <c r="I8" s="226"/>
      <c r="J8" s="226"/>
      <c r="K8" s="226"/>
      <c r="L8" s="200"/>
    </row>
    <row r="9" spans="2:12" x14ac:dyDescent="0.25">
      <c r="B9" s="201"/>
      <c r="C9" s="226"/>
      <c r="D9" s="226"/>
      <c r="E9" s="226"/>
      <c r="F9" s="226"/>
      <c r="G9" s="220"/>
      <c r="H9" s="226"/>
      <c r="I9" s="226"/>
      <c r="J9" s="226"/>
      <c r="K9" s="226"/>
      <c r="L9" s="200"/>
    </row>
    <row r="10" spans="2:12" x14ac:dyDescent="0.25">
      <c r="B10" s="201"/>
      <c r="C10" s="226"/>
      <c r="D10" s="226"/>
      <c r="E10" s="226"/>
      <c r="F10" s="226"/>
      <c r="G10" s="220"/>
      <c r="H10" s="226"/>
      <c r="I10" s="226"/>
      <c r="J10" s="226"/>
      <c r="K10" s="226"/>
      <c r="L10" s="200"/>
    </row>
    <row r="11" spans="2:12" x14ac:dyDescent="0.25">
      <c r="B11" s="198"/>
      <c r="C11" s="225"/>
      <c r="D11" s="225"/>
      <c r="E11" s="225"/>
      <c r="F11" s="225"/>
      <c r="G11" s="225"/>
      <c r="H11" s="225"/>
      <c r="I11" s="225"/>
      <c r="J11" s="225"/>
      <c r="K11" s="225"/>
      <c r="L11" s="197"/>
    </row>
    <row r="15" spans="2:12" x14ac:dyDescent="0.25">
      <c r="B15" s="224"/>
      <c r="C15" s="223"/>
      <c r="D15" s="223"/>
      <c r="E15" s="223"/>
      <c r="F15" s="223"/>
      <c r="G15" s="223"/>
      <c r="H15" s="223"/>
      <c r="I15" s="223"/>
      <c r="J15" s="223"/>
      <c r="K15" s="223"/>
      <c r="L15" s="222"/>
    </row>
    <row r="16" spans="2:12" x14ac:dyDescent="0.25">
      <c r="B16" s="201"/>
      <c r="C16" s="221" t="s">
        <v>4</v>
      </c>
      <c r="D16" s="220"/>
      <c r="E16" s="220"/>
      <c r="F16" s="220"/>
      <c r="G16" s="220"/>
      <c r="H16" s="220"/>
      <c r="I16" s="220"/>
      <c r="J16" s="220"/>
      <c r="K16" s="220"/>
      <c r="L16" s="200"/>
    </row>
    <row r="17" spans="2:14" x14ac:dyDescent="0.25">
      <c r="B17" s="201"/>
      <c r="C17" s="220"/>
      <c r="D17" s="220"/>
      <c r="E17" s="220"/>
      <c r="F17" s="220"/>
      <c r="G17" s="221"/>
      <c r="H17" s="220"/>
      <c r="I17" s="220"/>
      <c r="J17" s="220"/>
      <c r="K17" s="220"/>
      <c r="L17" s="200"/>
    </row>
    <row r="18" spans="2:14" ht="15" customHeight="1" x14ac:dyDescent="0.25">
      <c r="B18" s="201"/>
      <c r="C18" s="317" t="s">
        <v>184</v>
      </c>
      <c r="D18" s="317"/>
      <c r="E18" s="317"/>
      <c r="F18" s="317"/>
      <c r="G18" s="317"/>
      <c r="H18" s="317"/>
      <c r="I18" s="317"/>
      <c r="J18" s="317"/>
      <c r="K18" s="317"/>
      <c r="L18" s="200"/>
    </row>
    <row r="19" spans="2:14" x14ac:dyDescent="0.25">
      <c r="B19" s="201"/>
      <c r="C19" s="317"/>
      <c r="D19" s="317"/>
      <c r="E19" s="317"/>
      <c r="F19" s="317"/>
      <c r="G19" s="317"/>
      <c r="H19" s="317"/>
      <c r="I19" s="317"/>
      <c r="J19" s="317"/>
      <c r="K19" s="317"/>
      <c r="L19" s="200"/>
    </row>
    <row r="20" spans="2:14" x14ac:dyDescent="0.25">
      <c r="B20" s="201"/>
      <c r="C20" s="317"/>
      <c r="D20" s="317"/>
      <c r="E20" s="317"/>
      <c r="F20" s="317"/>
      <c r="G20" s="317"/>
      <c r="H20" s="317"/>
      <c r="I20" s="317"/>
      <c r="J20" s="317"/>
      <c r="K20" s="317"/>
      <c r="L20" s="200"/>
    </row>
    <row r="21" spans="2:14" ht="9" customHeight="1" x14ac:dyDescent="0.25">
      <c r="B21" s="201"/>
      <c r="C21" s="220"/>
      <c r="D21" s="220"/>
      <c r="E21" s="220"/>
      <c r="F21" s="220"/>
      <c r="G21" s="220"/>
      <c r="H21" s="220"/>
      <c r="I21" s="220"/>
      <c r="J21" s="220"/>
      <c r="K21" s="220"/>
      <c r="L21" s="200"/>
    </row>
    <row r="22" spans="2:14" ht="15" customHeight="1" x14ac:dyDescent="0.25">
      <c r="B22" s="201"/>
      <c r="C22" s="317" t="s">
        <v>173</v>
      </c>
      <c r="D22" s="317"/>
      <c r="E22" s="317"/>
      <c r="F22" s="317"/>
      <c r="G22" s="317"/>
      <c r="H22" s="317"/>
      <c r="I22" s="317"/>
      <c r="J22" s="317"/>
      <c r="K22" s="317"/>
      <c r="L22" s="200"/>
    </row>
    <row r="23" spans="2:14" x14ac:dyDescent="0.25">
      <c r="B23" s="201"/>
      <c r="C23" s="317"/>
      <c r="D23" s="317"/>
      <c r="E23" s="317"/>
      <c r="F23" s="317"/>
      <c r="G23" s="317"/>
      <c r="H23" s="317"/>
      <c r="I23" s="317"/>
      <c r="J23" s="317"/>
      <c r="K23" s="317"/>
      <c r="L23" s="200"/>
    </row>
    <row r="24" spans="2:14" x14ac:dyDescent="0.25">
      <c r="B24" s="201"/>
      <c r="C24" s="317"/>
      <c r="D24" s="317"/>
      <c r="E24" s="317"/>
      <c r="F24" s="317"/>
      <c r="G24" s="317"/>
      <c r="H24" s="317"/>
      <c r="I24" s="317"/>
      <c r="J24" s="317"/>
      <c r="K24" s="317"/>
      <c r="L24" s="200"/>
    </row>
    <row r="25" spans="2:14" ht="37.9" customHeight="1" x14ac:dyDescent="0.25">
      <c r="B25" s="201"/>
      <c r="C25" s="317"/>
      <c r="D25" s="317"/>
      <c r="E25" s="317"/>
      <c r="F25" s="317"/>
      <c r="G25" s="317"/>
      <c r="H25" s="317"/>
      <c r="I25" s="317"/>
      <c r="J25" s="317"/>
      <c r="K25" s="317"/>
      <c r="L25" s="200"/>
      <c r="N25" s="199"/>
    </row>
    <row r="26" spans="2:14" x14ac:dyDescent="0.25">
      <c r="B26" s="201"/>
      <c r="C26" s="203"/>
      <c r="D26" s="203"/>
      <c r="E26" s="203"/>
      <c r="F26" s="203"/>
      <c r="G26" s="203"/>
      <c r="H26" s="203"/>
      <c r="I26" s="203"/>
      <c r="J26" s="203"/>
      <c r="K26" s="203"/>
      <c r="L26" s="200"/>
    </row>
    <row r="27" spans="2:14" x14ac:dyDescent="0.25">
      <c r="B27" s="201"/>
      <c r="C27" s="318" t="s">
        <v>5</v>
      </c>
      <c r="D27" s="318"/>
      <c r="E27" s="318"/>
      <c r="F27" s="318"/>
      <c r="G27" s="318"/>
      <c r="H27" s="318"/>
      <c r="I27" s="318"/>
      <c r="J27" s="318"/>
      <c r="K27" s="318"/>
      <c r="L27" s="200"/>
    </row>
    <row r="28" spans="2:14" x14ac:dyDescent="0.25">
      <c r="B28" s="201"/>
      <c r="C28" s="206"/>
      <c r="D28" s="206"/>
      <c r="E28" s="206"/>
      <c r="F28" s="206"/>
      <c r="G28" s="206"/>
      <c r="H28" s="206"/>
      <c r="I28" s="206"/>
      <c r="J28" s="206"/>
      <c r="K28" s="206"/>
      <c r="L28" s="200"/>
    </row>
    <row r="29" spans="2:14" ht="230.1" customHeight="1" x14ac:dyDescent="0.25">
      <c r="B29" s="201"/>
      <c r="C29" s="317" t="s">
        <v>196</v>
      </c>
      <c r="D29" s="317"/>
      <c r="E29" s="317"/>
      <c r="F29" s="317"/>
      <c r="G29" s="317"/>
      <c r="H29" s="317"/>
      <c r="I29" s="317"/>
      <c r="J29" s="317"/>
      <c r="K29" s="317"/>
      <c r="L29" s="200"/>
    </row>
    <row r="30" spans="2:14" x14ac:dyDescent="0.25">
      <c r="B30" s="201"/>
      <c r="C30" s="206"/>
      <c r="D30" s="206"/>
      <c r="E30" s="206"/>
      <c r="F30" s="206"/>
      <c r="G30" s="206"/>
      <c r="H30" s="206"/>
      <c r="I30" s="206"/>
      <c r="J30" s="206"/>
      <c r="K30" s="206"/>
      <c r="L30" s="200"/>
      <c r="N30" s="219"/>
    </row>
    <row r="31" spans="2:14" x14ac:dyDescent="0.25">
      <c r="B31" s="201"/>
      <c r="C31" s="319" t="s">
        <v>6</v>
      </c>
      <c r="D31" s="319"/>
      <c r="E31" s="319"/>
      <c r="F31" s="319"/>
      <c r="G31" s="319"/>
      <c r="H31" s="319"/>
      <c r="I31" s="319"/>
      <c r="J31" s="319"/>
      <c r="K31" s="319"/>
      <c r="L31" s="200"/>
    </row>
    <row r="32" spans="2:14" x14ac:dyDescent="0.25">
      <c r="B32" s="201"/>
      <c r="C32" s="203"/>
      <c r="D32" s="216"/>
      <c r="E32" s="216"/>
      <c r="F32" s="216"/>
      <c r="G32" s="216"/>
      <c r="H32" s="216"/>
      <c r="I32" s="216"/>
      <c r="J32" s="216"/>
      <c r="K32" s="216"/>
      <c r="L32" s="200"/>
    </row>
    <row r="33" spans="2:14" ht="33" customHeight="1" thickBot="1" x14ac:dyDescent="0.3">
      <c r="B33" s="142"/>
      <c r="C33" s="145"/>
      <c r="D33" s="320" t="s">
        <v>210</v>
      </c>
      <c r="E33" s="320"/>
      <c r="F33" s="320"/>
      <c r="G33" s="320"/>
      <c r="H33" s="320"/>
      <c r="I33" s="320"/>
      <c r="J33" s="320"/>
      <c r="K33" s="320"/>
      <c r="L33" s="143"/>
      <c r="N33" s="217"/>
    </row>
    <row r="34" spans="2:14" ht="50.1" customHeight="1" thickTop="1" thickBot="1" x14ac:dyDescent="0.3">
      <c r="B34" s="304"/>
      <c r="C34" s="305"/>
      <c r="D34" s="146"/>
      <c r="E34" s="306"/>
      <c r="F34" s="321" t="s">
        <v>193</v>
      </c>
      <c r="G34" s="322"/>
      <c r="H34" s="322"/>
      <c r="I34" s="322"/>
      <c r="J34" s="322"/>
      <c r="K34" s="322"/>
      <c r="L34" s="307"/>
      <c r="N34" s="217"/>
    </row>
    <row r="35" spans="2:14" s="310" customFormat="1" ht="50.1" customHeight="1" thickTop="1" x14ac:dyDescent="0.2">
      <c r="B35" s="304"/>
      <c r="C35" s="305"/>
      <c r="D35" s="146"/>
      <c r="E35" s="308"/>
      <c r="F35" s="323" t="s">
        <v>197</v>
      </c>
      <c r="G35" s="323"/>
      <c r="H35" s="323"/>
      <c r="I35" s="323"/>
      <c r="J35" s="323"/>
      <c r="K35" s="323"/>
      <c r="L35" s="307"/>
      <c r="N35" s="311"/>
    </row>
    <row r="36" spans="2:14" s="310" customFormat="1" ht="50.1" customHeight="1" x14ac:dyDescent="0.2">
      <c r="B36" s="304"/>
      <c r="C36" s="305"/>
      <c r="D36" s="146"/>
      <c r="E36" s="314"/>
      <c r="F36" s="323"/>
      <c r="G36" s="323"/>
      <c r="H36" s="323"/>
      <c r="I36" s="323"/>
      <c r="J36" s="323"/>
      <c r="K36" s="323"/>
      <c r="L36" s="307"/>
      <c r="N36" s="311"/>
    </row>
    <row r="37" spans="2:14" ht="15" customHeight="1" x14ac:dyDescent="0.25">
      <c r="B37" s="201"/>
      <c r="C37" s="218"/>
      <c r="D37" s="303"/>
      <c r="E37" s="303"/>
      <c r="F37" s="303"/>
      <c r="G37" s="303"/>
      <c r="H37" s="303"/>
      <c r="I37" s="303"/>
      <c r="J37" s="303"/>
      <c r="K37" s="303"/>
      <c r="L37" s="200"/>
      <c r="N37" s="217"/>
    </row>
    <row r="38" spans="2:14" ht="126" customHeight="1" x14ac:dyDescent="0.25">
      <c r="B38" s="201"/>
      <c r="C38" s="218"/>
      <c r="D38" s="317" t="s">
        <v>204</v>
      </c>
      <c r="E38" s="317"/>
      <c r="F38" s="317"/>
      <c r="G38" s="317"/>
      <c r="H38" s="317"/>
      <c r="I38" s="317"/>
      <c r="J38" s="317"/>
      <c r="K38" s="317"/>
      <c r="L38" s="200"/>
      <c r="N38" s="217"/>
    </row>
    <row r="39" spans="2:14" ht="85.5" customHeight="1" x14ac:dyDescent="0.25">
      <c r="B39" s="201"/>
      <c r="C39" s="218"/>
      <c r="D39" s="317" t="s">
        <v>205</v>
      </c>
      <c r="E39" s="317"/>
      <c r="F39" s="317"/>
      <c r="G39" s="317"/>
      <c r="H39" s="317"/>
      <c r="I39" s="317"/>
      <c r="J39" s="317"/>
      <c r="K39" s="317"/>
      <c r="L39" s="200"/>
      <c r="N39" s="217"/>
    </row>
    <row r="40" spans="2:14" ht="55.5" customHeight="1" x14ac:dyDescent="0.25">
      <c r="B40" s="201"/>
      <c r="C40" s="218"/>
      <c r="D40" s="317" t="s">
        <v>201</v>
      </c>
      <c r="E40" s="317"/>
      <c r="F40" s="317"/>
      <c r="G40" s="317"/>
      <c r="H40" s="317"/>
      <c r="I40" s="317"/>
      <c r="J40" s="317"/>
      <c r="K40" s="317"/>
      <c r="L40" s="200"/>
      <c r="N40" s="217"/>
    </row>
    <row r="41" spans="2:14" ht="113.25" customHeight="1" x14ac:dyDescent="0.25">
      <c r="B41" s="201"/>
      <c r="C41" s="218"/>
      <c r="D41" s="317" t="s">
        <v>202</v>
      </c>
      <c r="E41" s="317"/>
      <c r="F41" s="317"/>
      <c r="G41" s="317"/>
      <c r="H41" s="317"/>
      <c r="I41" s="317"/>
      <c r="J41" s="317"/>
      <c r="K41" s="317"/>
      <c r="L41" s="200"/>
      <c r="N41" s="217"/>
    </row>
    <row r="42" spans="2:14" ht="98.25" customHeight="1" x14ac:dyDescent="0.25">
      <c r="B42" s="201"/>
      <c r="C42" s="218"/>
      <c r="D42" s="317" t="s">
        <v>203</v>
      </c>
      <c r="E42" s="317"/>
      <c r="F42" s="317"/>
      <c r="G42" s="317"/>
      <c r="H42" s="317"/>
      <c r="I42" s="317"/>
      <c r="J42" s="317"/>
      <c r="K42" s="317"/>
      <c r="L42" s="200"/>
      <c r="N42" s="217"/>
    </row>
    <row r="43" spans="2:14" x14ac:dyDescent="0.25">
      <c r="B43" s="201"/>
      <c r="C43" s="203"/>
      <c r="D43" s="216"/>
      <c r="E43" s="216"/>
      <c r="F43" s="216"/>
      <c r="G43" s="216"/>
      <c r="H43" s="216"/>
      <c r="I43" s="216"/>
      <c r="J43" s="216"/>
      <c r="K43" s="216"/>
      <c r="L43" s="200"/>
    </row>
    <row r="44" spans="2:14" ht="61.9" customHeight="1" x14ac:dyDescent="0.25">
      <c r="B44" s="201"/>
      <c r="C44" s="211"/>
      <c r="D44" s="317" t="s">
        <v>136</v>
      </c>
      <c r="E44" s="317"/>
      <c r="F44" s="317"/>
      <c r="G44" s="317"/>
      <c r="H44" s="317"/>
      <c r="I44" s="317"/>
      <c r="J44" s="317"/>
      <c r="K44" s="317"/>
      <c r="L44" s="200"/>
    </row>
    <row r="45" spans="2:14" ht="32.450000000000003" customHeight="1" x14ac:dyDescent="0.25">
      <c r="B45" s="201"/>
      <c r="C45" s="211"/>
      <c r="D45" s="317" t="s">
        <v>7</v>
      </c>
      <c r="E45" s="317"/>
      <c r="F45" s="317"/>
      <c r="G45" s="317"/>
      <c r="H45" s="317"/>
      <c r="I45" s="317"/>
      <c r="J45" s="317"/>
      <c r="K45" s="317"/>
      <c r="L45" s="200"/>
    </row>
    <row r="46" spans="2:14" ht="33.6" customHeight="1" x14ac:dyDescent="0.25">
      <c r="B46" s="201"/>
      <c r="C46" s="211"/>
      <c r="D46" s="213"/>
      <c r="E46" s="209"/>
      <c r="F46" s="326" t="s">
        <v>119</v>
      </c>
      <c r="G46" s="326"/>
      <c r="H46" s="326"/>
      <c r="I46" s="326"/>
      <c r="J46" s="326"/>
      <c r="K46" s="326"/>
      <c r="L46" s="200"/>
    </row>
    <row r="47" spans="2:14" ht="32.25" customHeight="1" x14ac:dyDescent="0.25">
      <c r="B47" s="201"/>
      <c r="C47" s="211"/>
      <c r="D47" s="213"/>
      <c r="E47" s="215"/>
      <c r="F47" s="326" t="s">
        <v>174</v>
      </c>
      <c r="G47" s="326"/>
      <c r="H47" s="326"/>
      <c r="I47" s="326"/>
      <c r="J47" s="326"/>
      <c r="K47" s="326"/>
      <c r="L47" s="200"/>
    </row>
    <row r="48" spans="2:14" ht="92.25" customHeight="1" x14ac:dyDescent="0.25">
      <c r="B48" s="201"/>
      <c r="C48" s="211"/>
      <c r="D48" s="213"/>
      <c r="E48" s="214"/>
      <c r="F48" s="326" t="s">
        <v>8</v>
      </c>
      <c r="G48" s="326"/>
      <c r="H48" s="326"/>
      <c r="I48" s="326"/>
      <c r="J48" s="326"/>
      <c r="K48" s="326"/>
      <c r="L48" s="200"/>
    </row>
    <row r="49" spans="2:22" ht="23.25" customHeight="1" x14ac:dyDescent="0.25">
      <c r="B49" s="201"/>
      <c r="C49" s="211"/>
      <c r="D49" s="213"/>
      <c r="E49" s="212"/>
      <c r="F49" s="326" t="s">
        <v>9</v>
      </c>
      <c r="G49" s="326"/>
      <c r="H49" s="326"/>
      <c r="I49" s="326"/>
      <c r="J49" s="326"/>
      <c r="K49" s="326"/>
      <c r="L49" s="200"/>
    </row>
    <row r="50" spans="2:22" ht="45.75" customHeight="1" x14ac:dyDescent="0.25">
      <c r="B50" s="201"/>
      <c r="C50" s="211"/>
      <c r="D50" s="317" t="s">
        <v>175</v>
      </c>
      <c r="E50" s="317"/>
      <c r="F50" s="317"/>
      <c r="G50" s="317"/>
      <c r="H50" s="317"/>
      <c r="I50" s="317"/>
      <c r="J50" s="317"/>
      <c r="K50" s="317"/>
      <c r="L50" s="200"/>
    </row>
    <row r="51" spans="2:22" x14ac:dyDescent="0.25">
      <c r="B51" s="201"/>
      <c r="C51" s="203"/>
      <c r="D51" s="203"/>
      <c r="E51" s="203"/>
      <c r="F51" s="203"/>
      <c r="G51" s="203"/>
      <c r="H51" s="203"/>
      <c r="I51" s="203"/>
      <c r="J51" s="203"/>
      <c r="K51" s="203"/>
      <c r="L51" s="200"/>
    </row>
    <row r="52" spans="2:22" s="141" customFormat="1" ht="82.5" customHeight="1" x14ac:dyDescent="0.25">
      <c r="B52" s="142"/>
      <c r="C52" s="320" t="s">
        <v>144</v>
      </c>
      <c r="D52" s="320"/>
      <c r="E52" s="320"/>
      <c r="F52" s="320"/>
      <c r="G52" s="320"/>
      <c r="H52" s="320"/>
      <c r="I52" s="320"/>
      <c r="J52" s="320"/>
      <c r="K52" s="320"/>
      <c r="L52" s="143"/>
      <c r="N52" s="196"/>
      <c r="O52" s="196"/>
      <c r="P52" s="196"/>
      <c r="Q52" s="196"/>
      <c r="R52" s="196"/>
      <c r="S52" s="196"/>
      <c r="T52" s="196"/>
      <c r="U52" s="196"/>
      <c r="V52" s="196"/>
    </row>
    <row r="53" spans="2:22" s="141" customFormat="1" x14ac:dyDescent="0.25">
      <c r="B53" s="142"/>
      <c r="C53" s="151"/>
      <c r="D53" s="257"/>
      <c r="E53" s="257"/>
      <c r="F53" s="257"/>
      <c r="G53" s="257"/>
      <c r="H53" s="257"/>
      <c r="I53" s="257"/>
      <c r="J53" s="257"/>
      <c r="K53" s="257"/>
      <c r="L53" s="143"/>
      <c r="N53" s="253"/>
    </row>
    <row r="54" spans="2:22" s="141" customFormat="1" ht="48" customHeight="1" x14ac:dyDescent="0.25">
      <c r="B54" s="142"/>
      <c r="C54" s="261"/>
      <c r="D54" s="324" t="s">
        <v>211</v>
      </c>
      <c r="E54" s="324"/>
      <c r="F54" s="324"/>
      <c r="G54" s="324"/>
      <c r="H54" s="324"/>
      <c r="I54" s="324"/>
      <c r="J54" s="324"/>
      <c r="K54" s="324"/>
      <c r="L54" s="143"/>
      <c r="N54" s="253"/>
    </row>
    <row r="55" spans="2:22" s="141" customFormat="1" x14ac:dyDescent="0.25">
      <c r="B55" s="142"/>
      <c r="C55" s="151"/>
      <c r="D55" s="309"/>
      <c r="E55" s="309"/>
      <c r="F55" s="309"/>
      <c r="G55" s="309"/>
      <c r="H55" s="309"/>
      <c r="I55" s="309"/>
      <c r="J55" s="309"/>
      <c r="K55" s="309"/>
      <c r="L55" s="143"/>
      <c r="N55" s="253"/>
    </row>
    <row r="56" spans="2:22" s="141" customFormat="1" ht="47.25" customHeight="1" x14ac:dyDescent="0.25">
      <c r="B56" s="142"/>
      <c r="C56" s="262"/>
      <c r="D56" s="324" t="s">
        <v>138</v>
      </c>
      <c r="E56" s="324"/>
      <c r="F56" s="324"/>
      <c r="G56" s="324"/>
      <c r="H56" s="324"/>
      <c r="I56" s="324"/>
      <c r="J56" s="324"/>
      <c r="K56" s="324"/>
      <c r="L56" s="143"/>
      <c r="N56" s="253"/>
    </row>
    <row r="57" spans="2:22" s="141" customFormat="1" x14ac:dyDescent="0.25">
      <c r="B57" s="142"/>
      <c r="C57" s="151"/>
      <c r="D57" s="309"/>
      <c r="E57" s="309"/>
      <c r="F57" s="309"/>
      <c r="G57" s="309"/>
      <c r="H57" s="309"/>
      <c r="I57" s="309"/>
      <c r="J57" s="309"/>
      <c r="K57" s="309"/>
      <c r="L57" s="143"/>
    </row>
    <row r="58" spans="2:22" ht="65.25" customHeight="1" x14ac:dyDescent="0.25">
      <c r="B58" s="201"/>
      <c r="C58" s="210"/>
      <c r="D58" s="326" t="s">
        <v>142</v>
      </c>
      <c r="E58" s="326"/>
      <c r="F58" s="326"/>
      <c r="G58" s="326"/>
      <c r="H58" s="326"/>
      <c r="I58" s="326"/>
      <c r="J58" s="326"/>
      <c r="K58" s="326"/>
      <c r="L58" s="200"/>
    </row>
    <row r="59" spans="2:22" s="141" customFormat="1" x14ac:dyDescent="0.25">
      <c r="B59" s="142"/>
      <c r="C59" s="151"/>
      <c r="D59" s="151"/>
      <c r="E59" s="151"/>
      <c r="F59" s="151"/>
      <c r="G59" s="151"/>
      <c r="H59" s="151"/>
      <c r="I59" s="151"/>
      <c r="J59" s="151"/>
      <c r="K59" s="151"/>
      <c r="L59" s="143"/>
    </row>
    <row r="60" spans="2:22" ht="46.15" customHeight="1" x14ac:dyDescent="0.25">
      <c r="B60" s="201"/>
      <c r="C60" s="325" t="s">
        <v>143</v>
      </c>
      <c r="D60" s="325"/>
      <c r="E60" s="325"/>
      <c r="F60" s="325"/>
      <c r="G60" s="325"/>
      <c r="H60" s="325"/>
      <c r="I60" s="325"/>
      <c r="J60" s="325"/>
      <c r="K60" s="325"/>
      <c r="L60" s="200"/>
    </row>
    <row r="61" spans="2:22" ht="46.15" customHeight="1" x14ac:dyDescent="0.25">
      <c r="B61" s="201"/>
      <c r="C61" s="203"/>
      <c r="D61" s="209"/>
      <c r="E61" s="328" t="s">
        <v>125</v>
      </c>
      <c r="F61" s="328"/>
      <c r="G61" s="328"/>
      <c r="H61" s="328"/>
      <c r="I61" s="328"/>
      <c r="J61" s="328"/>
      <c r="K61" s="328"/>
      <c r="L61" s="200"/>
    </row>
    <row r="62" spans="2:22" ht="45.6" customHeight="1" x14ac:dyDescent="0.25">
      <c r="B62" s="201"/>
      <c r="C62" s="203"/>
      <c r="D62" s="208"/>
      <c r="E62" s="328" t="s">
        <v>137</v>
      </c>
      <c r="F62" s="328"/>
      <c r="G62" s="328"/>
      <c r="H62" s="328"/>
      <c r="I62" s="328"/>
      <c r="J62" s="328"/>
      <c r="K62" s="328"/>
      <c r="L62" s="200"/>
    </row>
    <row r="63" spans="2:22" ht="45" customHeight="1" x14ac:dyDescent="0.25">
      <c r="B63" s="201"/>
      <c r="C63" s="203"/>
      <c r="D63" s="207"/>
      <c r="E63" s="328" t="s">
        <v>117</v>
      </c>
      <c r="F63" s="328"/>
      <c r="G63" s="328"/>
      <c r="H63" s="328"/>
      <c r="I63" s="328"/>
      <c r="J63" s="328"/>
      <c r="K63" s="328"/>
      <c r="L63" s="200"/>
    </row>
    <row r="64" spans="2:22" x14ac:dyDescent="0.25">
      <c r="B64" s="201"/>
      <c r="C64" s="203"/>
      <c r="D64" s="205"/>
      <c r="E64" s="205"/>
      <c r="F64" s="204"/>
      <c r="G64" s="204"/>
      <c r="H64" s="204"/>
      <c r="I64" s="204"/>
      <c r="J64" s="204"/>
      <c r="K64" s="204"/>
      <c r="L64" s="200"/>
    </row>
    <row r="65" spans="2:14" x14ac:dyDescent="0.25">
      <c r="B65" s="201"/>
      <c r="C65" s="203"/>
      <c r="D65" s="202"/>
      <c r="E65" s="202"/>
      <c r="F65" s="202"/>
      <c r="G65" s="202"/>
      <c r="H65" s="202"/>
      <c r="I65" s="202"/>
      <c r="J65" s="202"/>
      <c r="K65" s="202"/>
      <c r="L65" s="200"/>
    </row>
    <row r="66" spans="2:14" ht="17.45" customHeight="1" x14ac:dyDescent="0.25">
      <c r="B66" s="201"/>
      <c r="C66" s="318" t="s">
        <v>10</v>
      </c>
      <c r="D66" s="318"/>
      <c r="E66" s="318"/>
      <c r="F66" s="318"/>
      <c r="G66" s="318"/>
      <c r="H66" s="318"/>
      <c r="I66" s="318"/>
      <c r="J66" s="318"/>
      <c r="K66" s="318"/>
      <c r="L66" s="200"/>
    </row>
    <row r="67" spans="2:14" ht="30" customHeight="1" x14ac:dyDescent="0.25">
      <c r="B67" s="201"/>
      <c r="C67" s="317" t="s">
        <v>198</v>
      </c>
      <c r="D67" s="317"/>
      <c r="E67" s="317"/>
      <c r="F67" s="317"/>
      <c r="G67" s="317"/>
      <c r="H67" s="317"/>
      <c r="I67" s="317"/>
      <c r="J67" s="317"/>
      <c r="K67" s="317"/>
      <c r="L67" s="200"/>
      <c r="N67" s="199"/>
    </row>
    <row r="68" spans="2:14" ht="15" customHeight="1" x14ac:dyDescent="0.25">
      <c r="B68" s="201"/>
      <c r="C68" s="294"/>
      <c r="D68" s="294"/>
      <c r="E68" s="294"/>
      <c r="F68" s="294"/>
      <c r="G68" s="294"/>
      <c r="H68" s="294"/>
      <c r="I68" s="294"/>
      <c r="J68" s="294"/>
      <c r="K68" s="294"/>
      <c r="L68" s="200"/>
      <c r="N68" s="199"/>
    </row>
    <row r="69" spans="2:14" ht="105" customHeight="1" x14ac:dyDescent="0.25">
      <c r="B69" s="201"/>
      <c r="C69" s="295"/>
      <c r="D69" s="320" t="s">
        <v>199</v>
      </c>
      <c r="E69" s="320"/>
      <c r="F69" s="320"/>
      <c r="G69" s="320"/>
      <c r="H69" s="320"/>
      <c r="I69" s="320"/>
      <c r="J69" s="320"/>
      <c r="K69" s="320"/>
      <c r="L69" s="200"/>
      <c r="N69" s="199"/>
    </row>
    <row r="70" spans="2:14" x14ac:dyDescent="0.25">
      <c r="B70" s="198"/>
      <c r="C70" s="327"/>
      <c r="D70" s="327"/>
      <c r="E70" s="327"/>
      <c r="F70" s="327"/>
      <c r="G70" s="327"/>
      <c r="H70" s="327"/>
      <c r="I70" s="327"/>
      <c r="J70" s="327"/>
      <c r="K70" s="327"/>
      <c r="L70" s="197"/>
    </row>
  </sheetData>
  <mergeCells count="32">
    <mergeCell ref="D69:K69"/>
    <mergeCell ref="C66:K66"/>
    <mergeCell ref="C67:K67"/>
    <mergeCell ref="C70:K70"/>
    <mergeCell ref="D58:K58"/>
    <mergeCell ref="E61:K61"/>
    <mergeCell ref="E62:K62"/>
    <mergeCell ref="E63:K63"/>
    <mergeCell ref="D45:K45"/>
    <mergeCell ref="F46:K46"/>
    <mergeCell ref="F47:K47"/>
    <mergeCell ref="F48:K48"/>
    <mergeCell ref="F49:K49"/>
    <mergeCell ref="D50:K50"/>
    <mergeCell ref="C52:K52"/>
    <mergeCell ref="D54:K54"/>
    <mergeCell ref="D56:K56"/>
    <mergeCell ref="C60:K60"/>
    <mergeCell ref="D40:K40"/>
    <mergeCell ref="D44:K44"/>
    <mergeCell ref="C18:K20"/>
    <mergeCell ref="C22:K25"/>
    <mergeCell ref="C27:K27"/>
    <mergeCell ref="C29:K29"/>
    <mergeCell ref="C31:K31"/>
    <mergeCell ref="D38:K38"/>
    <mergeCell ref="D41:K41"/>
    <mergeCell ref="D42:K42"/>
    <mergeCell ref="D33:K33"/>
    <mergeCell ref="F34:K34"/>
    <mergeCell ref="F35:K36"/>
    <mergeCell ref="D39:K39"/>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47"/>
  <sheetViews>
    <sheetView zoomScale="80" zoomScaleNormal="80" workbookViewId="0"/>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7"/>
    <col min="22" max="22" width="8.7109375" style="315"/>
    <col min="23" max="16384" width="8.7109375" style="4"/>
  </cols>
  <sheetData>
    <row r="2" spans="3:22" x14ac:dyDescent="0.2">
      <c r="U2" s="87">
        <v>4</v>
      </c>
      <c r="V2" s="315">
        <v>-1.5</v>
      </c>
    </row>
    <row r="3" spans="3:22" ht="12.75" customHeight="1" x14ac:dyDescent="0.2">
      <c r="D3" s="329" t="s">
        <v>118</v>
      </c>
      <c r="E3" s="330"/>
      <c r="F3" s="331"/>
      <c r="H3" s="292"/>
      <c r="I3" s="292"/>
      <c r="J3" s="292"/>
      <c r="K3" s="292"/>
      <c r="U3" s="87">
        <v>7</v>
      </c>
      <c r="V3" s="315">
        <v>-1.48</v>
      </c>
    </row>
    <row r="4" spans="3:22" ht="13.5" customHeight="1" thickBot="1" x14ac:dyDescent="0.25">
      <c r="D4" s="150" t="s">
        <v>11</v>
      </c>
      <c r="E4" s="7"/>
      <c r="F4" s="29" t="s">
        <v>116</v>
      </c>
      <c r="H4" s="292"/>
      <c r="I4" s="292"/>
      <c r="J4" s="292"/>
      <c r="K4" s="292"/>
      <c r="V4" s="315">
        <v>-1.46</v>
      </c>
    </row>
    <row r="5" spans="3:22" ht="14.25" customHeight="1" thickTop="1" thickBot="1" x14ac:dyDescent="0.25">
      <c r="D5" s="149" t="s">
        <v>192</v>
      </c>
      <c r="E5" s="186"/>
      <c r="F5" s="139">
        <v>4</v>
      </c>
      <c r="H5" s="292"/>
      <c r="I5" s="292"/>
      <c r="J5" s="292"/>
      <c r="K5" s="292"/>
      <c r="V5" s="315">
        <v>-1.44</v>
      </c>
    </row>
    <row r="6" spans="3:22" ht="14.45" customHeight="1" thickTop="1" thickBot="1" x14ac:dyDescent="0.25">
      <c r="C6" s="300" t="s">
        <v>186</v>
      </c>
      <c r="D6" s="149" t="s">
        <v>126</v>
      </c>
      <c r="E6" s="194"/>
      <c r="F6" s="234">
        <v>0</v>
      </c>
      <c r="H6" s="292"/>
      <c r="I6" s="292"/>
      <c r="J6" s="292"/>
      <c r="K6" s="292"/>
      <c r="V6" s="315">
        <v>-1.42</v>
      </c>
    </row>
    <row r="7" spans="3:22" ht="14.25" customHeight="1" thickTop="1" thickBot="1" x14ac:dyDescent="0.25">
      <c r="C7" s="300" t="s">
        <v>185</v>
      </c>
      <c r="D7" s="170" t="s">
        <v>127</v>
      </c>
      <c r="E7" s="171"/>
      <c r="F7" s="140">
        <v>0</v>
      </c>
      <c r="H7" s="292"/>
      <c r="I7" s="292"/>
      <c r="J7" s="292"/>
      <c r="K7" s="292"/>
      <c r="V7" s="315">
        <v>-1.4</v>
      </c>
    </row>
    <row r="8" spans="3:22" ht="13.5" thickTop="1" x14ac:dyDescent="0.2">
      <c r="D8" s="5"/>
      <c r="F8" s="6"/>
      <c r="V8" s="315">
        <v>-1.38</v>
      </c>
    </row>
    <row r="9" spans="3:22" ht="18" customHeight="1" x14ac:dyDescent="0.2">
      <c r="D9" s="5"/>
      <c r="F9" s="6"/>
      <c r="H9" s="352" t="s">
        <v>124</v>
      </c>
      <c r="I9" s="344"/>
      <c r="J9" s="345"/>
      <c r="K9" s="255"/>
      <c r="V9" s="315">
        <v>-1.3599999999999999</v>
      </c>
    </row>
    <row r="10" spans="3:22" ht="29.45" customHeight="1" x14ac:dyDescent="0.2">
      <c r="F10" s="186"/>
      <c r="H10" s="332" t="s">
        <v>123</v>
      </c>
      <c r="I10" s="333"/>
      <c r="J10" s="349" t="s">
        <v>145</v>
      </c>
      <c r="K10" s="256"/>
      <c r="P10" s="232"/>
      <c r="V10" s="315">
        <v>-1.3399999999999999</v>
      </c>
    </row>
    <row r="11" spans="3:22" ht="49.5" customHeight="1" x14ac:dyDescent="0.2">
      <c r="D11" s="235"/>
      <c r="E11" s="235"/>
      <c r="F11" s="235"/>
      <c r="H11" s="254" t="s">
        <v>122</v>
      </c>
      <c r="I11" s="254" t="str">
        <f>"Debt below 60% of GDP in T+"&amp;10+F5</f>
        <v>Debt below 60% of GDP in T+14</v>
      </c>
      <c r="J11" s="350"/>
      <c r="K11" s="356"/>
      <c r="L11" s="357"/>
      <c r="M11" s="357"/>
      <c r="N11" s="357"/>
      <c r="O11" s="357"/>
      <c r="P11" s="357"/>
      <c r="V11" s="315">
        <v>-1.3199999999999998</v>
      </c>
    </row>
    <row r="12" spans="3:22" ht="45" customHeight="1" x14ac:dyDescent="0.2">
      <c r="C12" s="300" t="s">
        <v>186</v>
      </c>
      <c r="D12" s="343" t="s">
        <v>206</v>
      </c>
      <c r="E12" s="344"/>
      <c r="F12" s="344"/>
      <c r="G12" s="345"/>
      <c r="H12" s="195" t="str">
        <f ca="1">IF(MIN(OFFSET('Adjustment scenario'!$F$77,0,$F$5,1,11))&gt;-3.05,"ok","Not met")</f>
        <v>ok</v>
      </c>
      <c r="I12" s="195" t="str">
        <f ca="1">IF(OFFSET('Adjustment scenario'!$F$57,0,$F$5+10,1,1)&lt;60,"ok","Not met")</f>
        <v>ok</v>
      </c>
      <c r="J12" s="195" t="str">
        <f>IF(AND($F$5=4,COUNTIF(G18:J18,"&gt;" &amp; F6)=0),"Not binding",IF(AND($F$5=7,COUNTIF(G18:M18,"&gt;" &amp; F6)=0),"Not binding","Binding"))</f>
        <v>Not binding</v>
      </c>
      <c r="K12" s="354"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OK
The adjustment in F6 fulfills all requirements including the deficit resilience safeguard</v>
      </c>
      <c r="L12" s="355"/>
      <c r="M12" s="355"/>
      <c r="N12" s="355"/>
      <c r="O12" s="355"/>
      <c r="P12" s="355"/>
      <c r="Q12" s="296"/>
      <c r="V12" s="315">
        <v>-1.3</v>
      </c>
    </row>
    <row r="13" spans="3:22" ht="45" customHeight="1" x14ac:dyDescent="0.2">
      <c r="C13" s="300" t="s">
        <v>185</v>
      </c>
      <c r="D13" s="343" t="s">
        <v>207</v>
      </c>
      <c r="E13" s="344"/>
      <c r="F13" s="344"/>
      <c r="G13" s="345"/>
      <c r="H13" s="195" t="str">
        <f ca="1">IF(MIN(OFFSET('Adjust. no safeguard'!$F$77,0,$F$5,1,11))&gt;-3.05,"ok","Not met")</f>
        <v>ok</v>
      </c>
      <c r="I13" s="195" t="str">
        <f ca="1">IF(OFFSET('Adjust. no safeguard'!$F$57,0,$F$5+10,1,1)&lt;60,"ok","Not met")</f>
        <v>ok</v>
      </c>
      <c r="J13" s="246"/>
      <c r="K13" s="354"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OK
The adjustment in F7 ensures that the debt and deficit remain
below the Treaty reference values over the medium term</v>
      </c>
      <c r="L13" s="355"/>
      <c r="M13" s="355"/>
      <c r="N13" s="355"/>
      <c r="O13" s="355"/>
      <c r="P13" s="355"/>
      <c r="Q13" s="296"/>
      <c r="V13" s="315">
        <v>-1.28</v>
      </c>
    </row>
    <row r="14" spans="3:22" ht="34.5" customHeight="1" x14ac:dyDescent="0.2">
      <c r="D14" s="351" t="s">
        <v>200</v>
      </c>
      <c r="E14" s="351"/>
      <c r="F14" s="351"/>
      <c r="G14" s="351"/>
      <c r="H14" s="351"/>
      <c r="I14" s="351"/>
      <c r="J14" s="351"/>
      <c r="K14" s="247"/>
      <c r="L14" s="296"/>
      <c r="M14" s="296"/>
      <c r="V14" s="315">
        <v>-1.26</v>
      </c>
    </row>
    <row r="15" spans="3:22" ht="12.75" customHeight="1" x14ac:dyDescent="0.2">
      <c r="K15" s="247"/>
      <c r="L15" s="296"/>
      <c r="M15" s="296"/>
      <c r="V15" s="315">
        <v>-1.24</v>
      </c>
    </row>
    <row r="16" spans="3:22" ht="15.75" customHeight="1" x14ac:dyDescent="0.2">
      <c r="D16" s="228"/>
      <c r="E16" s="228"/>
      <c r="F16" s="228"/>
      <c r="G16" s="337" t="s">
        <v>140</v>
      </c>
      <c r="H16" s="338"/>
      <c r="I16" s="338"/>
      <c r="J16" s="339"/>
      <c r="K16" s="168"/>
      <c r="L16" s="296"/>
      <c r="M16" s="296"/>
      <c r="N16" s="168"/>
      <c r="O16" s="168"/>
      <c r="P16" s="159"/>
      <c r="V16" s="315">
        <v>-1.22</v>
      </c>
    </row>
    <row r="17" spans="4:22" ht="13.5" customHeight="1" x14ac:dyDescent="0.2">
      <c r="D17" s="228"/>
      <c r="E17" s="154"/>
      <c r="F17" s="160"/>
      <c r="G17" s="155">
        <v>2025</v>
      </c>
      <c r="H17" s="156">
        <v>2026</v>
      </c>
      <c r="I17" s="156">
        <v>2027</v>
      </c>
      <c r="J17" s="156">
        <v>2028</v>
      </c>
      <c r="K17" s="156">
        <v>2029</v>
      </c>
      <c r="L17" s="156">
        <v>2030</v>
      </c>
      <c r="M17" s="169">
        <v>2031</v>
      </c>
      <c r="N17" s="161"/>
      <c r="P17" s="161"/>
      <c r="V17" s="315">
        <v>-1.2</v>
      </c>
    </row>
    <row r="18" spans="4:22" ht="15" customHeight="1" x14ac:dyDescent="0.2">
      <c r="D18" s="340" t="s">
        <v>14</v>
      </c>
      <c r="E18" s="341"/>
      <c r="F18" s="342"/>
      <c r="G18" s="158">
        <f>'Adjustment scenario'!G12-'Adjustment scenario'!F12</f>
        <v>0</v>
      </c>
      <c r="H18" s="165">
        <f>'Adjustment scenario'!H12-'Adjustment scenario'!G12</f>
        <v>0</v>
      </c>
      <c r="I18" s="165">
        <f>'Adjustment scenario'!I12-'Adjustment scenario'!H12</f>
        <v>0</v>
      </c>
      <c r="J18" s="165">
        <f>'Adjustment scenario'!J12-'Adjustment scenario'!I12</f>
        <v>0</v>
      </c>
      <c r="K18" s="165">
        <f>'Adjustment scenario'!K12-'Adjustment scenario'!J12</f>
        <v>0</v>
      </c>
      <c r="L18" s="165">
        <f>'Adjustment scenario'!L12-'Adjustment scenario'!K12</f>
        <v>0</v>
      </c>
      <c r="M18" s="166">
        <f>'Adjustment scenario'!M12-'Adjustment scenario'!L12</f>
        <v>0</v>
      </c>
      <c r="N18" s="158"/>
      <c r="P18" s="158"/>
      <c r="V18" s="315">
        <v>-1.1800000000000002</v>
      </c>
    </row>
    <row r="19" spans="4:22" ht="15" customHeight="1" x14ac:dyDescent="0.2">
      <c r="D19" s="193" t="s">
        <v>20</v>
      </c>
      <c r="E19" s="187"/>
      <c r="F19" s="188"/>
      <c r="G19" s="189">
        <f>'Adjustment scenario'!G78</f>
        <v>-0.33667787300347257</v>
      </c>
      <c r="H19" s="190">
        <f>'Adjustment scenario'!H78</f>
        <v>-0.39296472201314392</v>
      </c>
      <c r="I19" s="190">
        <f>'Adjustment scenario'!I78</f>
        <v>-0.4350131143451475</v>
      </c>
      <c r="J19" s="190">
        <f>'Adjustment scenario'!J78</f>
        <v>-0.46239988510869007</v>
      </c>
      <c r="K19" s="190">
        <f>'Adjustment scenario'!K78</f>
        <v>-0.63037701646896949</v>
      </c>
      <c r="L19" s="190">
        <f>'Adjustment scenario'!L78</f>
        <v>-0.8414236697578551</v>
      </c>
      <c r="M19" s="192">
        <f>'Adjustment scenario'!M78</f>
        <v>-1.0578637106129767</v>
      </c>
      <c r="N19" s="176"/>
      <c r="P19" s="158"/>
      <c r="V19" s="315">
        <v>-1.1600000000000001</v>
      </c>
    </row>
    <row r="20" spans="4:22" ht="15" customHeight="1" x14ac:dyDescent="0.2">
      <c r="D20" s="334" t="s">
        <v>121</v>
      </c>
      <c r="E20" s="335"/>
      <c r="F20" s="336"/>
      <c r="G20" s="312"/>
      <c r="H20" s="313"/>
      <c r="I20" s="313"/>
      <c r="J20" s="313">
        <f>IF(F5=4,'Adjustment scenario'!J12,"")</f>
        <v>9.7703100000000001E-2</v>
      </c>
      <c r="K20" s="313"/>
      <c r="L20" s="313"/>
      <c r="M20" s="316" t="str">
        <f>IF(F5=7,'Adjustment scenario'!M12,"")</f>
        <v/>
      </c>
      <c r="N20" s="176"/>
      <c r="P20" s="158"/>
      <c r="V20" s="315">
        <v>-1.1400000000000001</v>
      </c>
    </row>
    <row r="21" spans="4:22" ht="15" customHeight="1" x14ac:dyDescent="0.2">
      <c r="D21" s="351" t="s">
        <v>141</v>
      </c>
      <c r="E21" s="351"/>
      <c r="F21" s="351"/>
      <c r="G21" s="351"/>
      <c r="H21" s="351"/>
      <c r="I21" s="351"/>
      <c r="J21" s="351"/>
      <c r="K21" s="191"/>
      <c r="L21" s="191"/>
      <c r="M21" s="191"/>
      <c r="N21" s="176"/>
      <c r="P21" s="158"/>
      <c r="V21" s="315">
        <v>-1.1200000000000001</v>
      </c>
    </row>
    <row r="22" spans="4:22" ht="15" customHeight="1" x14ac:dyDescent="0.2">
      <c r="D22" s="238"/>
      <c r="E22" s="238"/>
      <c r="F22" s="238"/>
      <c r="G22" s="245"/>
      <c r="H22" s="164"/>
      <c r="I22" s="164"/>
      <c r="J22" s="164"/>
      <c r="K22" s="190"/>
      <c r="L22" s="190"/>
      <c r="M22" s="190"/>
      <c r="N22" s="176"/>
      <c r="P22" s="158"/>
      <c r="V22" s="315">
        <v>-1.1000000000000001</v>
      </c>
    </row>
    <row r="23" spans="4:22" ht="15" customHeight="1" x14ac:dyDescent="0.2">
      <c r="D23" s="238"/>
      <c r="E23" s="238"/>
      <c r="F23" s="239"/>
      <c r="G23" s="337" t="s">
        <v>128</v>
      </c>
      <c r="H23" s="338"/>
      <c r="I23" s="338"/>
      <c r="J23" s="339"/>
      <c r="K23" s="190"/>
      <c r="L23" s="190"/>
      <c r="M23" s="164"/>
      <c r="N23" s="176"/>
      <c r="P23" s="158"/>
      <c r="V23" s="315">
        <v>-1.08</v>
      </c>
    </row>
    <row r="24" spans="4:22" ht="15" customHeight="1" x14ac:dyDescent="0.2">
      <c r="D24" s="244"/>
      <c r="E24" s="238"/>
      <c r="F24" s="239"/>
      <c r="G24" s="155">
        <v>2025</v>
      </c>
      <c r="H24" s="156">
        <v>2026</v>
      </c>
      <c r="I24" s="156">
        <v>2027</v>
      </c>
      <c r="J24" s="156">
        <v>2028</v>
      </c>
      <c r="K24" s="156">
        <v>2029</v>
      </c>
      <c r="L24" s="156">
        <v>2030</v>
      </c>
      <c r="M24" s="169">
        <v>2031</v>
      </c>
      <c r="N24" s="176"/>
      <c r="P24" s="158"/>
      <c r="V24" s="315">
        <v>-1.06</v>
      </c>
    </row>
    <row r="25" spans="4:22" ht="15" customHeight="1" x14ac:dyDescent="0.2">
      <c r="D25" s="340" t="s">
        <v>14</v>
      </c>
      <c r="E25" s="341"/>
      <c r="F25" s="342"/>
      <c r="G25" s="236">
        <f>'Adjust. no safeguard'!G12-'Adjust. no safeguard'!F12</f>
        <v>0</v>
      </c>
      <c r="H25" s="165">
        <f>'Adjust. no safeguard'!H12-'Adjust. no safeguard'!G12</f>
        <v>0</v>
      </c>
      <c r="I25" s="165">
        <f>'Adjust. no safeguard'!I12-'Adjust. no safeguard'!H12</f>
        <v>0</v>
      </c>
      <c r="J25" s="165">
        <f>'Adjust. no safeguard'!J12-'Adjust. no safeguard'!I12</f>
        <v>0</v>
      </c>
      <c r="K25" s="165">
        <f>'Adjust. no safeguard'!K12-'Adjust. no safeguard'!J12</f>
        <v>0</v>
      </c>
      <c r="L25" s="165">
        <f>'Adjust. no safeguard'!L12-'Adjust. no safeguard'!K12</f>
        <v>0</v>
      </c>
      <c r="M25" s="166">
        <f>'Adjust. no safeguard'!M12-'Adjust. no safeguard'!L12</f>
        <v>0</v>
      </c>
      <c r="N25" s="176"/>
      <c r="P25" s="158"/>
      <c r="V25" s="315">
        <v>-1.04</v>
      </c>
    </row>
    <row r="26" spans="4:22" ht="15" customHeight="1" x14ac:dyDescent="0.2">
      <c r="D26" s="237" t="s">
        <v>20</v>
      </c>
      <c r="E26" s="230"/>
      <c r="F26" s="231"/>
      <c r="G26" s="163">
        <f>'Adjust. no safeguard'!G78</f>
        <v>-0.33667787300347257</v>
      </c>
      <c r="H26" s="164">
        <f>'Adjust. no safeguard'!H78</f>
        <v>-0.39296472201314392</v>
      </c>
      <c r="I26" s="164">
        <f>'Adjust. no safeguard'!I78</f>
        <v>-0.4350131143451475</v>
      </c>
      <c r="J26" s="164">
        <f>'Adjust. no safeguard'!J78</f>
        <v>-0.46239988510869007</v>
      </c>
      <c r="K26" s="164">
        <f>'Adjust. no safeguard'!K78</f>
        <v>-0.63037701646896949</v>
      </c>
      <c r="L26" s="164">
        <f>'Adjust. no safeguard'!L78</f>
        <v>-0.8414236697578551</v>
      </c>
      <c r="M26" s="167">
        <f>'Adjust. no safeguard'!M78</f>
        <v>-1.0578637106129767</v>
      </c>
      <c r="N26" s="176"/>
      <c r="P26" s="158"/>
      <c r="V26" s="315">
        <v>-1.02</v>
      </c>
    </row>
    <row r="27" spans="4:22" ht="15" customHeight="1" x14ac:dyDescent="0.2">
      <c r="D27" s="346" t="s">
        <v>121</v>
      </c>
      <c r="E27" s="347"/>
      <c r="F27" s="348"/>
      <c r="G27" s="312"/>
      <c r="H27" s="313"/>
      <c r="I27" s="313"/>
      <c r="J27" s="313">
        <f>IF(F5=4,'Adjust. no safeguard'!J12,"")</f>
        <v>9.7703100000000001E-2</v>
      </c>
      <c r="K27" s="313"/>
      <c r="L27" s="313"/>
      <c r="M27" s="316" t="str">
        <f>IF(F5=7,'Adjust. no safeguard'!M12,"")</f>
        <v/>
      </c>
      <c r="N27" s="158"/>
      <c r="P27" s="162"/>
      <c r="V27" s="315">
        <v>-1</v>
      </c>
    </row>
    <row r="28" spans="4:22" x14ac:dyDescent="0.2">
      <c r="D28" s="240"/>
      <c r="E28" s="240"/>
      <c r="F28" s="240"/>
      <c r="G28" s="241"/>
      <c r="H28" s="158"/>
      <c r="Q28" s="157"/>
      <c r="V28" s="315">
        <v>-0.98</v>
      </c>
    </row>
    <row r="29" spans="4:22" x14ac:dyDescent="0.2">
      <c r="D29" s="242"/>
      <c r="E29" s="242"/>
      <c r="F29" s="242"/>
      <c r="G29" s="243"/>
      <c r="Q29" s="157"/>
      <c r="V29" s="315">
        <v>-0.96</v>
      </c>
    </row>
    <row r="30" spans="4:22" x14ac:dyDescent="0.2">
      <c r="J30" s="161"/>
      <c r="V30" s="315">
        <v>-0.94</v>
      </c>
    </row>
    <row r="31" spans="4:22" ht="19.899999999999999" customHeight="1" x14ac:dyDescent="0.2">
      <c r="G31" s="353"/>
      <c r="H31" s="353"/>
      <c r="I31" s="353"/>
      <c r="J31" s="353"/>
      <c r="K31" s="353"/>
      <c r="L31" s="353"/>
      <c r="M31" s="353"/>
      <c r="N31" s="353"/>
      <c r="O31" s="353"/>
      <c r="V31" s="315">
        <v>-0.82</v>
      </c>
    </row>
    <row r="32" spans="4:22" x14ac:dyDescent="0.2">
      <c r="K32" s="157"/>
      <c r="V32" s="315">
        <v>-0.8</v>
      </c>
    </row>
    <row r="33" spans="10:22" x14ac:dyDescent="0.2">
      <c r="K33" s="157"/>
      <c r="V33" s="315">
        <v>-0.78</v>
      </c>
    </row>
    <row r="34" spans="10:22" ht="13.15" customHeight="1" x14ac:dyDescent="0.2">
      <c r="J34" s="158"/>
      <c r="V34" s="315">
        <v>-0.76</v>
      </c>
    </row>
    <row r="35" spans="10:22" x14ac:dyDescent="0.2">
      <c r="V35" s="315">
        <v>-0.74</v>
      </c>
    </row>
    <row r="36" spans="10:22" x14ac:dyDescent="0.2">
      <c r="V36" s="315">
        <v>-0.72</v>
      </c>
    </row>
    <row r="37" spans="10:22" x14ac:dyDescent="0.2">
      <c r="V37" s="315">
        <v>-0.7</v>
      </c>
    </row>
    <row r="38" spans="10:22" x14ac:dyDescent="0.2">
      <c r="V38" s="315">
        <v>-0.67999999999999994</v>
      </c>
    </row>
    <row r="39" spans="10:22" x14ac:dyDescent="0.2">
      <c r="V39" s="315">
        <v>-0.66</v>
      </c>
    </row>
    <row r="40" spans="10:22" x14ac:dyDescent="0.2">
      <c r="V40" s="315">
        <v>-0.64</v>
      </c>
    </row>
    <row r="41" spans="10:22" x14ac:dyDescent="0.2">
      <c r="V41" s="315">
        <v>-0.62</v>
      </c>
    </row>
    <row r="42" spans="10:22" x14ac:dyDescent="0.2">
      <c r="V42" s="315">
        <v>-0.6</v>
      </c>
    </row>
    <row r="43" spans="10:22" x14ac:dyDescent="0.2">
      <c r="V43" s="315">
        <v>-0.57999999999999996</v>
      </c>
    </row>
    <row r="44" spans="10:22" x14ac:dyDescent="0.2">
      <c r="V44" s="315">
        <v>-0.56000000000000005</v>
      </c>
    </row>
    <row r="45" spans="10:22" x14ac:dyDescent="0.2">
      <c r="V45" s="315">
        <v>-0.54</v>
      </c>
    </row>
    <row r="46" spans="10:22" x14ac:dyDescent="0.2">
      <c r="V46" s="315">
        <v>-0.52</v>
      </c>
    </row>
    <row r="47" spans="10:22" x14ac:dyDescent="0.2">
      <c r="V47" s="315">
        <v>-0.5</v>
      </c>
    </row>
    <row r="48" spans="10:22" x14ac:dyDescent="0.2">
      <c r="V48" s="315">
        <v>-0.48</v>
      </c>
    </row>
    <row r="49" spans="22:22" x14ac:dyDescent="0.2">
      <c r="V49" s="315">
        <v>-0.46</v>
      </c>
    </row>
    <row r="50" spans="22:22" x14ac:dyDescent="0.2">
      <c r="V50" s="315">
        <v>-0.44</v>
      </c>
    </row>
    <row r="51" spans="22:22" x14ac:dyDescent="0.2">
      <c r="V51" s="315">
        <v>-0.42</v>
      </c>
    </row>
    <row r="52" spans="22:22" x14ac:dyDescent="0.2">
      <c r="V52" s="315">
        <v>-0.4</v>
      </c>
    </row>
    <row r="53" spans="22:22" x14ac:dyDescent="0.2">
      <c r="V53" s="315">
        <v>-0.38</v>
      </c>
    </row>
    <row r="54" spans="22:22" x14ac:dyDescent="0.2">
      <c r="V54" s="315">
        <v>-0.36</v>
      </c>
    </row>
    <row r="55" spans="22:22" x14ac:dyDescent="0.2">
      <c r="V55" s="315">
        <v>-0.33999999999999997</v>
      </c>
    </row>
    <row r="56" spans="22:22" x14ac:dyDescent="0.2">
      <c r="V56" s="315">
        <v>-0.32</v>
      </c>
    </row>
    <row r="57" spans="22:22" x14ac:dyDescent="0.2">
      <c r="V57" s="315">
        <v>-0.3</v>
      </c>
    </row>
    <row r="58" spans="22:22" x14ac:dyDescent="0.2">
      <c r="V58" s="315">
        <v>-0.28000000000000003</v>
      </c>
    </row>
    <row r="59" spans="22:22" x14ac:dyDescent="0.2">
      <c r="V59" s="315">
        <v>-0.26</v>
      </c>
    </row>
    <row r="60" spans="22:22" x14ac:dyDescent="0.2">
      <c r="V60" s="315">
        <v>-0.24</v>
      </c>
    </row>
    <row r="61" spans="22:22" x14ac:dyDescent="0.2">
      <c r="V61" s="315">
        <v>-0.21999999999999997</v>
      </c>
    </row>
    <row r="62" spans="22:22" x14ac:dyDescent="0.2">
      <c r="V62" s="315">
        <v>-0.2</v>
      </c>
    </row>
    <row r="63" spans="22:22" x14ac:dyDescent="0.2">
      <c r="V63" s="315">
        <v>-0.18</v>
      </c>
    </row>
    <row r="64" spans="22:22" x14ac:dyDescent="0.2">
      <c r="V64" s="315">
        <v>-0.16</v>
      </c>
    </row>
    <row r="65" spans="22:22" x14ac:dyDescent="0.2">
      <c r="V65" s="315">
        <v>-0.14000000000000001</v>
      </c>
    </row>
    <row r="66" spans="22:22" x14ac:dyDescent="0.2">
      <c r="V66" s="315">
        <v>-0.12</v>
      </c>
    </row>
    <row r="67" spans="22:22" x14ac:dyDescent="0.2">
      <c r="V67" s="315">
        <v>-0.1</v>
      </c>
    </row>
    <row r="68" spans="22:22" x14ac:dyDescent="0.2">
      <c r="V68" s="315">
        <v>-8.0000000000000016E-2</v>
      </c>
    </row>
    <row r="69" spans="22:22" x14ac:dyDescent="0.2">
      <c r="V69" s="315">
        <v>-0.06</v>
      </c>
    </row>
    <row r="70" spans="22:22" x14ac:dyDescent="0.2">
      <c r="V70" s="315">
        <v>-3.999999999999998E-2</v>
      </c>
    </row>
    <row r="71" spans="22:22" x14ac:dyDescent="0.2">
      <c r="V71" s="315">
        <v>-2.0000000000000018E-2</v>
      </c>
    </row>
    <row r="72" spans="22:22" x14ac:dyDescent="0.2">
      <c r="V72" s="315">
        <v>0</v>
      </c>
    </row>
    <row r="73" spans="22:22" x14ac:dyDescent="0.2">
      <c r="V73" s="315">
        <v>0.02</v>
      </c>
    </row>
    <row r="74" spans="22:22" x14ac:dyDescent="0.2">
      <c r="V74" s="315">
        <v>0.04</v>
      </c>
    </row>
    <row r="75" spans="22:22" x14ac:dyDescent="0.2">
      <c r="V75" s="315">
        <v>0.06</v>
      </c>
    </row>
    <row r="76" spans="22:22" x14ac:dyDescent="0.2">
      <c r="V76" s="315">
        <v>0.08</v>
      </c>
    </row>
    <row r="77" spans="22:22" x14ac:dyDescent="0.2">
      <c r="V77" s="315">
        <v>0.1</v>
      </c>
    </row>
    <row r="78" spans="22:22" x14ac:dyDescent="0.2">
      <c r="V78" s="315">
        <v>0.12</v>
      </c>
    </row>
    <row r="79" spans="22:22" x14ac:dyDescent="0.2">
      <c r="V79" s="315">
        <v>0.14000000000000001</v>
      </c>
    </row>
    <row r="80" spans="22:22" x14ac:dyDescent="0.2">
      <c r="V80" s="315">
        <v>0.16000000000000003</v>
      </c>
    </row>
    <row r="81" spans="22:22" x14ac:dyDescent="0.2">
      <c r="V81" s="315">
        <v>0.18000000000000005</v>
      </c>
    </row>
    <row r="82" spans="22:22" x14ac:dyDescent="0.2">
      <c r="V82" s="315">
        <v>0.2</v>
      </c>
    </row>
    <row r="83" spans="22:22" x14ac:dyDescent="0.2">
      <c r="V83" s="315">
        <v>0.22</v>
      </c>
    </row>
    <row r="84" spans="22:22" x14ac:dyDescent="0.2">
      <c r="V84" s="315">
        <v>0.24</v>
      </c>
    </row>
    <row r="85" spans="22:22" x14ac:dyDescent="0.2">
      <c r="V85" s="315">
        <v>0.26</v>
      </c>
    </row>
    <row r="86" spans="22:22" x14ac:dyDescent="0.2">
      <c r="V86" s="315">
        <v>0.28000000000000003</v>
      </c>
    </row>
    <row r="87" spans="22:22" x14ac:dyDescent="0.2">
      <c r="V87" s="315">
        <v>0.3</v>
      </c>
    </row>
    <row r="88" spans="22:22" x14ac:dyDescent="0.2">
      <c r="V88" s="315">
        <v>0.31999999999999995</v>
      </c>
    </row>
    <row r="89" spans="22:22" x14ac:dyDescent="0.2">
      <c r="V89" s="315">
        <v>0.33999999999999997</v>
      </c>
    </row>
    <row r="90" spans="22:22" x14ac:dyDescent="0.2">
      <c r="V90" s="315">
        <v>0.36</v>
      </c>
    </row>
    <row r="91" spans="22:22" x14ac:dyDescent="0.2">
      <c r="V91" s="315">
        <v>0.38</v>
      </c>
    </row>
    <row r="92" spans="22:22" x14ac:dyDescent="0.2">
      <c r="V92" s="315">
        <v>0.4</v>
      </c>
    </row>
    <row r="93" spans="22:22" x14ac:dyDescent="0.2">
      <c r="V93" s="315">
        <v>0.42</v>
      </c>
    </row>
    <row r="94" spans="22:22" x14ac:dyDescent="0.2">
      <c r="V94" s="315">
        <v>0.43999999999999995</v>
      </c>
    </row>
    <row r="95" spans="22:22" x14ac:dyDescent="0.2">
      <c r="V95" s="315">
        <v>0.45999999999999996</v>
      </c>
    </row>
    <row r="96" spans="22:22" x14ac:dyDescent="0.2">
      <c r="V96" s="315">
        <v>0.48</v>
      </c>
    </row>
    <row r="97" spans="22:22" x14ac:dyDescent="0.2">
      <c r="V97" s="315">
        <v>0.5</v>
      </c>
    </row>
    <row r="98" spans="22:22" x14ac:dyDescent="0.2">
      <c r="V98" s="315">
        <v>0.52</v>
      </c>
    </row>
    <row r="99" spans="22:22" x14ac:dyDescent="0.2">
      <c r="V99" s="315">
        <v>0.54</v>
      </c>
    </row>
    <row r="100" spans="22:22" x14ac:dyDescent="0.2">
      <c r="V100" s="315">
        <v>0.56000000000000005</v>
      </c>
    </row>
    <row r="101" spans="22:22" x14ac:dyDescent="0.2">
      <c r="V101" s="315">
        <v>0.58000000000000007</v>
      </c>
    </row>
    <row r="102" spans="22:22" x14ac:dyDescent="0.2">
      <c r="V102" s="315">
        <v>0.60000000000000009</v>
      </c>
    </row>
    <row r="103" spans="22:22" x14ac:dyDescent="0.2">
      <c r="V103" s="315">
        <v>0.62000000000000011</v>
      </c>
    </row>
    <row r="104" spans="22:22" x14ac:dyDescent="0.2">
      <c r="V104" s="315">
        <v>0.6399999999999999</v>
      </c>
    </row>
    <row r="105" spans="22:22" x14ac:dyDescent="0.2">
      <c r="V105" s="315">
        <v>0.65999999999999992</v>
      </c>
    </row>
    <row r="106" spans="22:22" x14ac:dyDescent="0.2">
      <c r="V106" s="315">
        <v>0.67999999999999994</v>
      </c>
    </row>
    <row r="107" spans="22:22" x14ac:dyDescent="0.2">
      <c r="V107" s="315">
        <v>0.7</v>
      </c>
    </row>
    <row r="108" spans="22:22" x14ac:dyDescent="0.2">
      <c r="V108" s="315">
        <v>0.72</v>
      </c>
    </row>
    <row r="109" spans="22:22" x14ac:dyDescent="0.2">
      <c r="V109" s="315">
        <v>0.74</v>
      </c>
    </row>
    <row r="110" spans="22:22" x14ac:dyDescent="0.2">
      <c r="V110" s="315">
        <v>0.76</v>
      </c>
    </row>
    <row r="111" spans="22:22" x14ac:dyDescent="0.2">
      <c r="V111" s="315">
        <v>0.78</v>
      </c>
    </row>
    <row r="112" spans="22:22" x14ac:dyDescent="0.2">
      <c r="V112" s="315">
        <v>0.8</v>
      </c>
    </row>
    <row r="113" spans="22:22" x14ac:dyDescent="0.2">
      <c r="V113" s="315">
        <v>0.82000000000000006</v>
      </c>
    </row>
    <row r="114" spans="22:22" x14ac:dyDescent="0.2">
      <c r="V114" s="315">
        <v>0.84000000000000008</v>
      </c>
    </row>
    <row r="115" spans="22:22" x14ac:dyDescent="0.2">
      <c r="V115" s="315">
        <v>0.8600000000000001</v>
      </c>
    </row>
    <row r="116" spans="22:22" x14ac:dyDescent="0.2">
      <c r="V116" s="315">
        <v>0.87999999999999989</v>
      </c>
    </row>
    <row r="117" spans="22:22" x14ac:dyDescent="0.2">
      <c r="V117" s="315">
        <v>0.89999999999999991</v>
      </c>
    </row>
    <row r="118" spans="22:22" x14ac:dyDescent="0.2">
      <c r="V118" s="315">
        <v>0.91999999999999993</v>
      </c>
    </row>
    <row r="119" spans="22:22" x14ac:dyDescent="0.2">
      <c r="V119" s="315">
        <v>0.94</v>
      </c>
    </row>
    <row r="120" spans="22:22" x14ac:dyDescent="0.2">
      <c r="V120" s="315">
        <v>0.96</v>
      </c>
    </row>
    <row r="121" spans="22:22" x14ac:dyDescent="0.2">
      <c r="V121" s="315">
        <v>0.98</v>
      </c>
    </row>
    <row r="122" spans="22:22" x14ac:dyDescent="0.2">
      <c r="V122" s="315">
        <v>1</v>
      </c>
    </row>
    <row r="123" spans="22:22" x14ac:dyDescent="0.2">
      <c r="V123" s="315">
        <v>1.02</v>
      </c>
    </row>
    <row r="124" spans="22:22" x14ac:dyDescent="0.2">
      <c r="V124" s="315">
        <v>1.04</v>
      </c>
    </row>
    <row r="125" spans="22:22" x14ac:dyDescent="0.2">
      <c r="V125" s="315">
        <v>1.06</v>
      </c>
    </row>
    <row r="126" spans="22:22" x14ac:dyDescent="0.2">
      <c r="V126" s="315">
        <v>1.08</v>
      </c>
    </row>
    <row r="127" spans="22:22" x14ac:dyDescent="0.2">
      <c r="V127" s="315">
        <v>1.1000000000000001</v>
      </c>
    </row>
    <row r="128" spans="22:22" x14ac:dyDescent="0.2">
      <c r="V128" s="315">
        <v>1.1200000000000001</v>
      </c>
    </row>
    <row r="129" spans="22:22" x14ac:dyDescent="0.2">
      <c r="V129" s="315">
        <v>1.1399999999999999</v>
      </c>
    </row>
    <row r="130" spans="22:22" x14ac:dyDescent="0.2">
      <c r="V130" s="315">
        <v>1.1599999999999999</v>
      </c>
    </row>
    <row r="131" spans="22:22" x14ac:dyDescent="0.2">
      <c r="V131" s="315">
        <v>1.18</v>
      </c>
    </row>
    <row r="132" spans="22:22" x14ac:dyDescent="0.2">
      <c r="V132" s="315">
        <v>1.2</v>
      </c>
    </row>
    <row r="133" spans="22:22" x14ac:dyDescent="0.2">
      <c r="V133" s="315">
        <v>1.22</v>
      </c>
    </row>
    <row r="134" spans="22:22" x14ac:dyDescent="0.2">
      <c r="V134" s="315">
        <v>1.24</v>
      </c>
    </row>
    <row r="135" spans="22:22" x14ac:dyDescent="0.2">
      <c r="V135" s="315">
        <v>1.26</v>
      </c>
    </row>
    <row r="136" spans="22:22" x14ac:dyDescent="0.2">
      <c r="V136" s="315">
        <v>1.28</v>
      </c>
    </row>
    <row r="137" spans="22:22" x14ac:dyDescent="0.2">
      <c r="V137" s="315">
        <v>1.3</v>
      </c>
    </row>
    <row r="138" spans="22:22" x14ac:dyDescent="0.2">
      <c r="V138" s="315">
        <v>1.32</v>
      </c>
    </row>
    <row r="139" spans="22:22" x14ac:dyDescent="0.2">
      <c r="V139" s="315">
        <v>1.34</v>
      </c>
    </row>
    <row r="140" spans="22:22" x14ac:dyDescent="0.2">
      <c r="V140" s="315">
        <v>1.36</v>
      </c>
    </row>
    <row r="141" spans="22:22" x14ac:dyDescent="0.2">
      <c r="V141" s="315">
        <v>1.38</v>
      </c>
    </row>
    <row r="142" spans="22:22" x14ac:dyDescent="0.2">
      <c r="V142" s="315">
        <v>1.4</v>
      </c>
    </row>
    <row r="143" spans="22:22" x14ac:dyDescent="0.2">
      <c r="V143" s="315">
        <v>1.42</v>
      </c>
    </row>
    <row r="144" spans="22:22" x14ac:dyDescent="0.2">
      <c r="V144" s="315">
        <v>1.44</v>
      </c>
    </row>
    <row r="145" spans="22:22" x14ac:dyDescent="0.2">
      <c r="V145" s="315">
        <v>1.46</v>
      </c>
    </row>
    <row r="146" spans="22:22" x14ac:dyDescent="0.2">
      <c r="V146" s="315">
        <v>1.48</v>
      </c>
    </row>
    <row r="147" spans="22:22" x14ac:dyDescent="0.2">
      <c r="V147" s="315">
        <v>1.5</v>
      </c>
    </row>
  </sheetData>
  <mergeCells count="18">
    <mergeCell ref="G31:O31"/>
    <mergeCell ref="D14:J14"/>
    <mergeCell ref="K12:P12"/>
    <mergeCell ref="K13:P13"/>
    <mergeCell ref="K11:P11"/>
    <mergeCell ref="D25:F25"/>
    <mergeCell ref="D27:F27"/>
    <mergeCell ref="G23:J23"/>
    <mergeCell ref="J10:J11"/>
    <mergeCell ref="D21:J21"/>
    <mergeCell ref="D3:F3"/>
    <mergeCell ref="H10:I10"/>
    <mergeCell ref="D20:F20"/>
    <mergeCell ref="G16:J16"/>
    <mergeCell ref="D18:F18"/>
    <mergeCell ref="D12:G12"/>
    <mergeCell ref="D13:G13"/>
    <mergeCell ref="H9:J9"/>
  </mergeCells>
  <conditionalFormatting sqref="L17:N27">
    <cfRule type="expression" dxfId="14" priority="25">
      <formula>$F$5=4</formula>
    </cfRule>
  </conditionalFormatting>
  <conditionalFormatting sqref="K17:N27">
    <cfRule type="expression" dxfId="13" priority="24">
      <formula>$F$5=4</formula>
    </cfRule>
  </conditionalFormatting>
  <conditionalFormatting sqref="K17:K20 K23:K27">
    <cfRule type="expression" dxfId="12" priority="26">
      <formula>$F$5=4</formula>
    </cfRule>
  </conditionalFormatting>
  <conditionalFormatting sqref="G19:J19">
    <cfRule type="cellIs" dxfId="11" priority="20" operator="lessThan">
      <formula>-1.55</formula>
    </cfRule>
  </conditionalFormatting>
  <conditionalFormatting sqref="K19:M19">
    <cfRule type="expression" dxfId="10" priority="19">
      <formula>AND($F$5=7,K19&lt;-1.55)</formula>
    </cfRule>
  </conditionalFormatting>
  <conditionalFormatting sqref="K13 C7 C13">
    <cfRule type="expression" dxfId="9" priority="9">
      <formula>AND($H$13="ok",$I$13="ok")</formula>
    </cfRule>
  </conditionalFormatting>
  <conditionalFormatting sqref="K12 C6 C12">
    <cfRule type="expression" dxfId="8"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F7" xr:uid="{02602825-EEE6-48F0-8A44-1CA028BF068D}">
      <formula1>$V$2:$V$147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election sqref="A1:A200"/>
    </sheetView>
  </sheetViews>
  <sheetFormatPr defaultColWidth="8.85546875" defaultRowHeight="12.75" x14ac:dyDescent="0.2"/>
  <cols>
    <col min="1" max="1" width="8.7109375" style="109" customWidth="1"/>
    <col min="2" max="2" width="58.42578125" style="109" customWidth="1"/>
    <col min="3" max="6" width="8.7109375" style="109" customWidth="1"/>
    <col min="7" max="16384" width="8.85546875" style="109"/>
  </cols>
  <sheetData>
    <row r="1" spans="1:54" s="45" customFormat="1" ht="24.75" customHeight="1" x14ac:dyDescent="0.2">
      <c r="B1" s="102"/>
    </row>
    <row r="2" spans="1:54" s="45" customFormat="1" ht="11.25" customHeight="1" x14ac:dyDescent="0.2">
      <c r="B2" s="103"/>
    </row>
    <row r="3" spans="1:54" s="45" customFormat="1" ht="11.25" customHeight="1" x14ac:dyDescent="0.2">
      <c r="B3" s="104" t="s">
        <v>11</v>
      </c>
      <c r="C3" s="105" t="s">
        <v>116</v>
      </c>
    </row>
    <row r="4" spans="1:54" s="45" customFormat="1" ht="11.25" customHeight="1" x14ac:dyDescent="0.2">
      <c r="B4" s="106"/>
      <c r="C4" s="12"/>
    </row>
    <row r="5" spans="1:54" s="45" customFormat="1" ht="11.25" customHeight="1" x14ac:dyDescent="0.2">
      <c r="B5" s="107" t="s">
        <v>120</v>
      </c>
      <c r="C5" s="12">
        <v>2024</v>
      </c>
    </row>
    <row r="6" spans="1:54" x14ac:dyDescent="0.2">
      <c r="A6" s="45"/>
      <c r="B6" s="108" t="s">
        <v>22</v>
      </c>
      <c r="C6" s="233">
        <f>C5+'Criteria results'!$F$5</f>
        <v>2028</v>
      </c>
    </row>
    <row r="8" spans="1:54" s="110" customFormat="1" ht="12" customHeight="1" x14ac:dyDescent="0.2">
      <c r="B8" s="111" t="s">
        <v>23</v>
      </c>
      <c r="C8" s="112"/>
      <c r="D8" s="112"/>
      <c r="E8" s="112"/>
      <c r="F8" s="112"/>
      <c r="G8" s="112"/>
      <c r="H8" s="112"/>
      <c r="I8" s="112"/>
      <c r="J8" s="112"/>
      <c r="K8" s="112"/>
      <c r="L8" s="112"/>
      <c r="M8" s="112"/>
      <c r="N8" s="112"/>
      <c r="O8" s="112"/>
    </row>
    <row r="9" spans="1:54" x14ac:dyDescent="0.2">
      <c r="B9" s="45"/>
      <c r="C9" s="113">
        <v>2021</v>
      </c>
      <c r="D9" s="113">
        <v>2022</v>
      </c>
      <c r="E9" s="113">
        <v>2023</v>
      </c>
      <c r="F9" s="113">
        <v>2024</v>
      </c>
      <c r="G9" s="113">
        <v>2025</v>
      </c>
      <c r="H9" s="113">
        <v>2026</v>
      </c>
      <c r="I9" s="113">
        <v>2027</v>
      </c>
      <c r="J9" s="113">
        <v>2028</v>
      </c>
      <c r="K9" s="113">
        <v>2029</v>
      </c>
      <c r="L9" s="113">
        <v>2030</v>
      </c>
      <c r="M9" s="113">
        <v>2031</v>
      </c>
      <c r="N9" s="113">
        <v>2032</v>
      </c>
      <c r="O9" s="113">
        <v>2033</v>
      </c>
      <c r="P9" s="113">
        <v>2034</v>
      </c>
      <c r="Q9" s="113">
        <v>2035</v>
      </c>
      <c r="R9" s="113">
        <v>2036</v>
      </c>
      <c r="S9" s="113">
        <v>2037</v>
      </c>
      <c r="T9" s="113">
        <v>2038</v>
      </c>
      <c r="U9" s="113">
        <v>2039</v>
      </c>
      <c r="V9" s="113">
        <v>2040</v>
      </c>
      <c r="W9" s="113">
        <v>2041</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s="114" customFormat="1" x14ac:dyDescent="0.2">
      <c r="B10" s="115" t="s">
        <v>24</v>
      </c>
      <c r="C10" s="116"/>
      <c r="D10" s="116"/>
      <c r="E10" s="116"/>
      <c r="F10" s="116"/>
      <c r="G10" s="116"/>
      <c r="H10" s="116"/>
      <c r="I10" s="116"/>
      <c r="J10" s="116"/>
      <c r="K10" s="116"/>
      <c r="L10" s="116"/>
      <c r="M10" s="116"/>
      <c r="N10" s="116"/>
      <c r="O10" s="116"/>
    </row>
    <row r="11" spans="1:54" x14ac:dyDescent="0.2">
      <c r="B11" s="117" t="s">
        <v>195</v>
      </c>
      <c r="C11" s="118"/>
      <c r="D11" s="118"/>
      <c r="E11" s="118"/>
      <c r="F11" s="118"/>
      <c r="G11" s="118"/>
      <c r="H11" s="118"/>
      <c r="I11" s="118"/>
      <c r="J11" s="118"/>
      <c r="K11" s="118"/>
      <c r="L11" s="118"/>
      <c r="M11" s="118"/>
      <c r="N11" s="118"/>
      <c r="O11" s="118"/>
    </row>
    <row r="12" spans="1:54" x14ac:dyDescent="0.2">
      <c r="A12" s="45"/>
      <c r="B12" s="45" t="s">
        <v>21</v>
      </c>
      <c r="C12" s="44">
        <v>24.503830000000001</v>
      </c>
      <c r="D12" s="119">
        <v>24.733499999999999</v>
      </c>
      <c r="E12" s="119">
        <v>25.669619999999998</v>
      </c>
      <c r="F12" s="119">
        <v>27.071300000000001</v>
      </c>
      <c r="G12" s="44" t="s">
        <v>25</v>
      </c>
      <c r="H12" s="44" t="s">
        <v>25</v>
      </c>
      <c r="I12" s="44" t="s">
        <v>25</v>
      </c>
      <c r="J12" s="44" t="s">
        <v>25</v>
      </c>
      <c r="K12" s="44" t="s">
        <v>25</v>
      </c>
      <c r="L12" s="44" t="s">
        <v>25</v>
      </c>
      <c r="M12" s="44" t="s">
        <v>25</v>
      </c>
      <c r="N12" s="44" t="s">
        <v>25</v>
      </c>
      <c r="O12" s="44" t="s">
        <v>25</v>
      </c>
    </row>
    <row r="13" spans="1:54" x14ac:dyDescent="0.2">
      <c r="A13" s="45"/>
      <c r="B13" s="45" t="s">
        <v>26</v>
      </c>
      <c r="C13" s="44">
        <v>0.32530419999999999</v>
      </c>
      <c r="D13" s="119">
        <v>-0.27810010000000002</v>
      </c>
      <c r="E13" s="119">
        <v>0.28953679999999998</v>
      </c>
      <c r="F13" s="119">
        <v>9.7703100000000001E-2</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0</v>
      </c>
      <c r="D14" s="119">
        <v>0</v>
      </c>
      <c r="E14" s="119">
        <v>0</v>
      </c>
      <c r="F14" s="119">
        <v>0</v>
      </c>
      <c r="G14" s="119">
        <v>0</v>
      </c>
      <c r="H14" s="119">
        <v>0</v>
      </c>
      <c r="I14" s="119">
        <v>0</v>
      </c>
      <c r="J14" s="119">
        <v>0</v>
      </c>
      <c r="K14" s="119">
        <v>0</v>
      </c>
      <c r="L14" s="119">
        <v>0</v>
      </c>
      <c r="M14" s="119">
        <v>0</v>
      </c>
      <c r="N14" s="119">
        <v>0</v>
      </c>
      <c r="O14" s="119">
        <v>0</v>
      </c>
      <c r="P14" s="119">
        <v>0</v>
      </c>
      <c r="Q14" s="119">
        <v>0</v>
      </c>
      <c r="R14" s="119">
        <v>0</v>
      </c>
      <c r="S14" s="119">
        <v>0</v>
      </c>
      <c r="T14" s="119">
        <v>0</v>
      </c>
      <c r="U14" s="119">
        <v>0</v>
      </c>
      <c r="V14" s="119">
        <v>0</v>
      </c>
      <c r="W14" s="119">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3.1046429999999998</v>
      </c>
      <c r="D15" s="119">
        <v>1.5134049999999999</v>
      </c>
      <c r="E15" s="119">
        <v>0.23943519999999999</v>
      </c>
      <c r="F15" s="119">
        <v>1.0366949999999999</v>
      </c>
      <c r="G15" s="119">
        <v>1.0661879999999999</v>
      </c>
      <c r="H15" s="119">
        <v>1.0058400000000001</v>
      </c>
      <c r="I15" s="119">
        <v>0.90413500000000002</v>
      </c>
      <c r="J15" s="119">
        <v>0.79055200000000003</v>
      </c>
      <c r="K15" s="119">
        <v>0.65862969999999998</v>
      </c>
      <c r="L15" s="119">
        <v>0.49461250000000001</v>
      </c>
      <c r="M15" s="119">
        <v>0.32602239999999999</v>
      </c>
      <c r="N15" s="119">
        <v>0.15586639999999999</v>
      </c>
      <c r="O15" s="119">
        <v>-2.03857E-2</v>
      </c>
      <c r="P15" s="119">
        <v>-0.19921710000000001</v>
      </c>
      <c r="Q15" s="119">
        <v>-0.3653266</v>
      </c>
      <c r="R15" s="119">
        <v>-0.52362160000000002</v>
      </c>
      <c r="S15" s="119">
        <v>-0.68878539999999999</v>
      </c>
      <c r="T15" s="119">
        <v>-0.84298320000000004</v>
      </c>
      <c r="U15" s="119">
        <v>-0.99308909999999995</v>
      </c>
      <c r="V15" s="119">
        <v>-1.145699</v>
      </c>
      <c r="W15" s="119">
        <v>-1.3113919999999999</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3.1046420000000001</v>
      </c>
      <c r="D16" s="119">
        <v>1.5134049999999999</v>
      </c>
      <c r="E16" s="119">
        <v>0.23943610000000001</v>
      </c>
      <c r="F16" s="119">
        <v>1.036694</v>
      </c>
      <c r="G16" s="119">
        <v>1.06619</v>
      </c>
      <c r="H16" s="119">
        <v>1.0058400000000001</v>
      </c>
      <c r="I16" s="119">
        <v>0.90413500000000002</v>
      </c>
      <c r="J16" s="119">
        <v>0.79055200000000003</v>
      </c>
      <c r="K16" s="119">
        <v>0.65862969999999998</v>
      </c>
      <c r="L16" s="119">
        <v>0.49461250000000001</v>
      </c>
      <c r="M16" s="119">
        <v>0.32602239999999999</v>
      </c>
      <c r="N16" s="119">
        <v>0.15586639999999999</v>
      </c>
      <c r="O16" s="119">
        <v>-2.03857E-2</v>
      </c>
      <c r="P16" s="119">
        <v>-0.19921710000000001</v>
      </c>
      <c r="Q16" s="119">
        <v>-0.3653266</v>
      </c>
      <c r="R16" s="119">
        <v>-0.52362160000000002</v>
      </c>
      <c r="S16" s="119">
        <v>-0.68878539999999999</v>
      </c>
      <c r="T16" s="119">
        <v>-0.84298320000000004</v>
      </c>
      <c r="U16" s="119">
        <v>-0.99308909999999995</v>
      </c>
      <c r="V16" s="119">
        <v>-1.145699</v>
      </c>
      <c r="W16" s="119">
        <v>-1.3113919999999999</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01" t="s">
        <v>194</v>
      </c>
      <c r="C17" s="44"/>
      <c r="D17" s="302">
        <v>0</v>
      </c>
      <c r="E17" s="302">
        <v>0</v>
      </c>
      <c r="F17" s="302">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7" t="s">
        <v>191</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20">
        <f t="shared" si="0"/>
        <v>15.657</v>
      </c>
      <c r="E20" s="120">
        <f t="shared" si="0"/>
        <v>15.804749999999999</v>
      </c>
      <c r="F20" s="120">
        <f t="shared" si="0"/>
        <v>15.831990000000001</v>
      </c>
      <c r="G20" s="120">
        <f t="shared" si="0"/>
        <v>15.751250000000001</v>
      </c>
      <c r="H20" s="120">
        <f t="shared" si="0"/>
        <v>15.68426</v>
      </c>
      <c r="I20" s="120">
        <f t="shared" si="0"/>
        <v>15.683599999999998</v>
      </c>
      <c r="J20" s="120">
        <f t="shared" si="0"/>
        <v>15.77327</v>
      </c>
      <c r="K20" s="120">
        <f t="shared" si="0"/>
        <v>15.917799999999998</v>
      </c>
      <c r="L20" s="120">
        <f t="shared" si="0"/>
        <v>16.102689999999999</v>
      </c>
      <c r="M20" s="120">
        <f t="shared" si="0"/>
        <v>16.290130000000001</v>
      </c>
      <c r="N20" s="120">
        <f t="shared" si="0"/>
        <v>16.487660000000002</v>
      </c>
      <c r="O20" s="120">
        <f t="shared" si="0"/>
        <v>16.680799999999998</v>
      </c>
      <c r="P20" s="120">
        <f t="shared" si="0"/>
        <v>16.87556</v>
      </c>
      <c r="Q20" s="120">
        <f t="shared" si="0"/>
        <v>17.048379999999998</v>
      </c>
      <c r="R20" s="120">
        <f t="shared" si="0"/>
        <v>17.213420000000003</v>
      </c>
      <c r="S20" s="120">
        <f t="shared" si="0"/>
        <v>17.378629999999998</v>
      </c>
      <c r="T20" s="120">
        <f t="shared" si="0"/>
        <v>17.541350000000001</v>
      </c>
      <c r="U20" s="120">
        <f t="shared" ref="U20:W20" si="1">(U21+U22+U23+U24-U25)</f>
        <v>17.693180000000002</v>
      </c>
      <c r="V20" s="120">
        <f t="shared" si="1"/>
        <v>17.836359999999999</v>
      </c>
      <c r="W20" s="120">
        <f t="shared" si="1"/>
        <v>17.99015</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1" t="s">
        <v>31</v>
      </c>
      <c r="C21" s="44">
        <v>0</v>
      </c>
      <c r="D21" s="120">
        <v>9.1981199999999994</v>
      </c>
      <c r="E21" s="120">
        <v>9.3869999999999987</v>
      </c>
      <c r="F21" s="120">
        <v>9.3562599999999989</v>
      </c>
      <c r="G21" s="120">
        <v>9.3103400000000001</v>
      </c>
      <c r="H21" s="120">
        <v>9.2740600000000004</v>
      </c>
      <c r="I21" s="120">
        <v>9.2919799999999988</v>
      </c>
      <c r="J21" s="120">
        <v>9.4059699999999999</v>
      </c>
      <c r="K21" s="120">
        <v>9.5605200000000004</v>
      </c>
      <c r="L21" s="120">
        <v>9.7496799999999997</v>
      </c>
      <c r="M21" s="120">
        <v>9.9326300000000014</v>
      </c>
      <c r="N21" s="120">
        <v>10.12067</v>
      </c>
      <c r="O21" s="120">
        <v>10.298309999999999</v>
      </c>
      <c r="P21" s="120">
        <v>10.470219999999999</v>
      </c>
      <c r="Q21" s="120">
        <v>10.616050000000001</v>
      </c>
      <c r="R21" s="120">
        <v>10.750360000000001</v>
      </c>
      <c r="S21" s="120">
        <v>10.878599999999999</v>
      </c>
      <c r="T21" s="120">
        <v>10.99943</v>
      </c>
      <c r="U21" s="120">
        <v>11.10488</v>
      </c>
      <c r="V21" s="120">
        <v>11.20288</v>
      </c>
      <c r="W21" s="120">
        <v>11.31091</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2" t="s">
        <v>32</v>
      </c>
      <c r="C22" s="44">
        <v>0</v>
      </c>
      <c r="D22" s="120">
        <v>3.8860899999999998</v>
      </c>
      <c r="E22" s="120">
        <v>3.97235</v>
      </c>
      <c r="F22" s="120">
        <v>4.1024900000000004</v>
      </c>
      <c r="G22" s="120">
        <v>4.11449</v>
      </c>
      <c r="H22" s="120">
        <v>4.1305100000000001</v>
      </c>
      <c r="I22" s="120">
        <v>4.1487099999999995</v>
      </c>
      <c r="J22" s="120">
        <v>4.1633100000000001</v>
      </c>
      <c r="K22" s="120">
        <v>4.1801199999999996</v>
      </c>
      <c r="L22" s="120">
        <v>4.1971699999999998</v>
      </c>
      <c r="M22" s="120">
        <v>4.2157499999999999</v>
      </c>
      <c r="N22" s="120">
        <v>4.2339900000000004</v>
      </c>
      <c r="O22" s="120">
        <v>4.2542499999999999</v>
      </c>
      <c r="P22" s="120">
        <v>4.27806</v>
      </c>
      <c r="Q22" s="120">
        <v>4.3017399999999997</v>
      </c>
      <c r="R22" s="120">
        <v>4.32646</v>
      </c>
      <c r="S22" s="120">
        <v>4.3521999999999998</v>
      </c>
      <c r="T22" s="120">
        <v>4.3798300000000001</v>
      </c>
      <c r="U22" s="120">
        <v>4.4089700000000001</v>
      </c>
      <c r="V22" s="120">
        <v>4.4365899999999998</v>
      </c>
      <c r="W22" s="120">
        <v>4.4678700000000005</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2" t="s">
        <v>33</v>
      </c>
      <c r="C23" s="44">
        <v>0</v>
      </c>
      <c r="D23" s="120">
        <v>1.10609</v>
      </c>
      <c r="E23" s="120">
        <v>1.0975199999999998</v>
      </c>
      <c r="F23" s="120">
        <v>1.08779</v>
      </c>
      <c r="G23" s="120">
        <v>1.0838699999999999</v>
      </c>
      <c r="H23" s="120">
        <v>1.08111</v>
      </c>
      <c r="I23" s="120">
        <v>1.0967199999999999</v>
      </c>
      <c r="J23" s="120">
        <v>1.1039699999999999</v>
      </c>
      <c r="K23" s="120">
        <v>1.1165400000000001</v>
      </c>
      <c r="L23" s="120">
        <v>1.1308800000000001</v>
      </c>
      <c r="M23" s="120">
        <v>1.1468700000000001</v>
      </c>
      <c r="N23" s="120">
        <v>1.1669499999999999</v>
      </c>
      <c r="O23" s="120">
        <v>1.1900600000000001</v>
      </c>
      <c r="P23" s="120">
        <v>1.2150100000000001</v>
      </c>
      <c r="Q23" s="120">
        <v>1.24027</v>
      </c>
      <c r="R23" s="120">
        <v>1.2663900000000001</v>
      </c>
      <c r="S23" s="120">
        <v>1.29664</v>
      </c>
      <c r="T23" s="120">
        <v>1.3293599999999999</v>
      </c>
      <c r="U23" s="120">
        <v>1.3640599999999998</v>
      </c>
      <c r="V23" s="120">
        <v>1.3995</v>
      </c>
      <c r="W23" s="120">
        <v>1.4352399999999998</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2" t="s">
        <v>34</v>
      </c>
      <c r="C24" s="44">
        <v>0</v>
      </c>
      <c r="D24" s="120">
        <v>3.0395300000000001</v>
      </c>
      <c r="E24" s="120">
        <v>2.9530000000000003</v>
      </c>
      <c r="F24" s="120">
        <v>2.8853200000000001</v>
      </c>
      <c r="G24" s="120">
        <v>2.8345599999999997</v>
      </c>
      <c r="H24" s="120">
        <v>2.7843900000000001</v>
      </c>
      <c r="I24" s="120">
        <v>2.7350599999999998</v>
      </c>
      <c r="J24" s="120">
        <v>2.7083900000000001</v>
      </c>
      <c r="K24" s="120">
        <v>2.6954199999999999</v>
      </c>
      <c r="L24" s="120">
        <v>2.6920999999999999</v>
      </c>
      <c r="M24" s="120">
        <v>2.6932999999999998</v>
      </c>
      <c r="N24" s="120">
        <v>2.6966299999999999</v>
      </c>
      <c r="O24" s="120">
        <v>2.6991299999999998</v>
      </c>
      <c r="P24" s="120">
        <v>2.70262</v>
      </c>
      <c r="Q24" s="120">
        <v>2.7056</v>
      </c>
      <c r="R24" s="120">
        <v>2.7084600000000001</v>
      </c>
      <c r="S24" s="120">
        <v>2.7113700000000001</v>
      </c>
      <c r="T24" s="120">
        <v>2.7135699999999998</v>
      </c>
      <c r="U24" s="120">
        <v>2.71414</v>
      </c>
      <c r="V24" s="120">
        <v>2.7130200000000002</v>
      </c>
      <c r="W24" s="120">
        <v>2.7102300000000001</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2" t="s">
        <v>35</v>
      </c>
      <c r="C25" s="44">
        <v>0</v>
      </c>
      <c r="D25" s="120">
        <v>1.5728300000000002</v>
      </c>
      <c r="E25" s="120">
        <v>1.6051200000000001</v>
      </c>
      <c r="F25" s="120">
        <v>1.5998700000000001</v>
      </c>
      <c r="G25" s="120">
        <v>1.5920099999999999</v>
      </c>
      <c r="H25" s="120">
        <v>1.5858099999999999</v>
      </c>
      <c r="I25" s="120">
        <v>1.5888699999999998</v>
      </c>
      <c r="J25" s="120">
        <v>1.6083699999999999</v>
      </c>
      <c r="K25" s="120">
        <v>1.6348000000000003</v>
      </c>
      <c r="L25" s="120">
        <v>1.6671399999999998</v>
      </c>
      <c r="M25" s="120">
        <v>1.69842</v>
      </c>
      <c r="N25" s="120">
        <v>1.73058</v>
      </c>
      <c r="O25" s="120">
        <v>1.76095</v>
      </c>
      <c r="P25" s="120">
        <v>1.7903499999999999</v>
      </c>
      <c r="Q25" s="120">
        <v>1.81528</v>
      </c>
      <c r="R25" s="120">
        <v>1.8382499999999999</v>
      </c>
      <c r="S25" s="120">
        <v>1.8601800000000002</v>
      </c>
      <c r="T25" s="120">
        <v>1.8808399999999998</v>
      </c>
      <c r="U25" s="120">
        <v>1.8988700000000001</v>
      </c>
      <c r="V25" s="120">
        <v>1.9156300000000002</v>
      </c>
      <c r="W25" s="120">
        <v>1.9341000000000002</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1" t="s">
        <v>36</v>
      </c>
      <c r="C26" s="44">
        <v>1.1620919999999999</v>
      </c>
      <c r="D26" s="120">
        <v>1.1207419999999999</v>
      </c>
      <c r="E26" s="120">
        <v>1.1188480000000001</v>
      </c>
      <c r="F26" s="120">
        <v>1.1169530000000001</v>
      </c>
      <c r="G26" s="120">
        <v>1.115059</v>
      </c>
      <c r="H26" s="120">
        <v>1.113165</v>
      </c>
      <c r="I26" s="120">
        <v>1.11127</v>
      </c>
      <c r="J26" s="120">
        <v>1.1093759999999999</v>
      </c>
      <c r="K26" s="120">
        <v>1.1074809999999999</v>
      </c>
      <c r="L26" s="120">
        <v>1.1055870000000001</v>
      </c>
      <c r="M26" s="120">
        <v>1.103693</v>
      </c>
      <c r="N26" s="120">
        <v>1.1017980000000001</v>
      </c>
      <c r="O26" s="120">
        <v>1.099904</v>
      </c>
      <c r="P26" s="120">
        <v>1.0980099999999999</v>
      </c>
      <c r="Q26" s="120">
        <v>1.096115</v>
      </c>
      <c r="R26" s="120">
        <v>1.0942210000000001</v>
      </c>
      <c r="S26" s="120">
        <v>1.092327</v>
      </c>
      <c r="T26" s="120">
        <v>1.0904320000000001</v>
      </c>
      <c r="U26" s="120">
        <v>1.088538</v>
      </c>
      <c r="V26" s="120">
        <v>1.0866439999999999</v>
      </c>
      <c r="W26" s="120">
        <v>1.084749</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4" customFormat="1" x14ac:dyDescent="0.2">
      <c r="A28" s="123"/>
      <c r="B28" s="115" t="s">
        <v>172</v>
      </c>
      <c r="C28" s="123"/>
      <c r="D28" s="123"/>
      <c r="E28" s="123"/>
      <c r="F28" s="123"/>
      <c r="G28" s="123"/>
      <c r="H28" s="123"/>
      <c r="I28" s="123"/>
      <c r="J28" s="123"/>
      <c r="K28" s="123"/>
      <c r="L28" s="123"/>
      <c r="M28" s="123"/>
      <c r="N28" s="123"/>
      <c r="O28" s="123"/>
    </row>
    <row r="29" spans="1:54" x14ac:dyDescent="0.2">
      <c r="A29" s="45"/>
      <c r="B29" s="117" t="s">
        <v>37</v>
      </c>
      <c r="C29" s="45"/>
      <c r="D29" s="45"/>
      <c r="E29" s="45"/>
      <c r="F29" s="45"/>
      <c r="G29" s="45"/>
      <c r="H29" s="45"/>
      <c r="I29" s="45"/>
      <c r="J29" s="45"/>
      <c r="K29" s="45"/>
      <c r="L29" s="45"/>
      <c r="M29" s="45"/>
      <c r="N29" s="45"/>
      <c r="O29" s="45"/>
    </row>
    <row r="30" spans="1:54" x14ac:dyDescent="0.2">
      <c r="A30" s="45"/>
      <c r="B30" s="45" t="s">
        <v>38</v>
      </c>
      <c r="C30" s="124">
        <v>7.1684039999999998</v>
      </c>
      <c r="D30" s="125">
        <v>1.3801950000000001</v>
      </c>
      <c r="E30" s="125">
        <v>-1.0957300000000001</v>
      </c>
      <c r="F30" s="125">
        <v>1.437554</v>
      </c>
      <c r="G30" s="125">
        <v>1.98529</v>
      </c>
      <c r="H30" s="125">
        <v>2.8606310000000001</v>
      </c>
      <c r="I30" s="125">
        <v>3.2225980000000001</v>
      </c>
      <c r="J30" s="125">
        <v>2.5983830000000001</v>
      </c>
      <c r="K30" s="125">
        <v>1.8680810000000001</v>
      </c>
      <c r="L30" s="125">
        <v>1.8073859999999999</v>
      </c>
      <c r="M30" s="125">
        <v>1.7339500000000001</v>
      </c>
      <c r="N30" s="125">
        <v>1.659332</v>
      </c>
      <c r="O30" s="125">
        <v>1.655875</v>
      </c>
      <c r="P30" s="126">
        <v>1.7004269999999999</v>
      </c>
      <c r="Q30" s="126">
        <v>1.744982</v>
      </c>
      <c r="R30" s="126">
        <v>1.789541</v>
      </c>
      <c r="S30" s="126">
        <v>1.875759</v>
      </c>
      <c r="T30" s="126">
        <v>1.991495</v>
      </c>
      <c r="U30" s="126">
        <v>2.1287349999999998</v>
      </c>
      <c r="V30" s="126">
        <v>2.2491660000000002</v>
      </c>
      <c r="W30" s="126">
        <v>2.2265519999999999</v>
      </c>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x14ac:dyDescent="0.2">
      <c r="A31" s="45"/>
      <c r="B31" s="259" t="s">
        <v>146</v>
      </c>
      <c r="C31" s="124">
        <v>63.703299999999999</v>
      </c>
    </row>
    <row r="32" spans="1:54" x14ac:dyDescent="0.2">
      <c r="A32" s="45"/>
      <c r="B32" s="117"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4">
        <v>2.2897560000000001</v>
      </c>
      <c r="D33" s="125">
        <v>2.004988</v>
      </c>
      <c r="E33" s="125">
        <v>1.8269759999999999</v>
      </c>
      <c r="F33" s="125">
        <v>1.8580989999999999</v>
      </c>
      <c r="G33" s="125">
        <v>1.7876730000000001</v>
      </c>
      <c r="H33" s="125">
        <v>1.8481380000000001</v>
      </c>
      <c r="I33" s="125">
        <v>1.885389</v>
      </c>
      <c r="J33" s="125">
        <v>1.938099</v>
      </c>
      <c r="K33" s="125">
        <v>1.8680859999999999</v>
      </c>
      <c r="L33" s="125">
        <v>1.8073870000000001</v>
      </c>
      <c r="M33" s="125">
        <v>1.7339530000000001</v>
      </c>
      <c r="N33" s="125">
        <v>1.6593309999999999</v>
      </c>
      <c r="O33" s="125">
        <v>1.6558729999999999</v>
      </c>
      <c r="P33" s="126">
        <v>1.7004280000000001</v>
      </c>
      <c r="Q33" s="126">
        <v>1.7449840000000001</v>
      </c>
      <c r="R33" s="126">
        <v>1.7895399999999999</v>
      </c>
      <c r="S33" s="126">
        <v>1.8757619999999999</v>
      </c>
      <c r="T33" s="126">
        <v>1.9914970000000001</v>
      </c>
      <c r="U33" s="126">
        <v>2.1287340000000001</v>
      </c>
      <c r="V33" s="126">
        <v>2.2491620000000001</v>
      </c>
      <c r="W33" s="126">
        <v>2.22655</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row>
    <row r="34" spans="1:54" x14ac:dyDescent="0.2">
      <c r="A34" s="45"/>
      <c r="B34" s="259" t="s">
        <v>146</v>
      </c>
      <c r="C34" s="124">
        <v>63.190869999999997</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59"/>
      <c r="C35" s="12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4" customFormat="1" x14ac:dyDescent="0.2">
      <c r="A36" s="123"/>
      <c r="B36" s="115" t="s">
        <v>187</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row>
    <row r="37" spans="1:54" x14ac:dyDescent="0.2">
      <c r="A37" s="45"/>
      <c r="B37" s="45" t="s">
        <v>41</v>
      </c>
      <c r="C37" s="44">
        <v>0.72664200000000001</v>
      </c>
      <c r="D37" s="119">
        <v>0.70384469999999999</v>
      </c>
      <c r="E37" s="119">
        <v>1.2501800000000001</v>
      </c>
      <c r="F37" s="119">
        <v>1.5276190000000001</v>
      </c>
      <c r="G37" s="119">
        <v>1.6779250000000001</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1" t="s">
        <v>42</v>
      </c>
      <c r="D38" s="119">
        <v>0.35</v>
      </c>
      <c r="E38" s="119">
        <v>3.43</v>
      </c>
      <c r="F38" s="249">
        <v>3.5642079999999998</v>
      </c>
      <c r="G38" s="250">
        <v>2.8163749999999999</v>
      </c>
      <c r="H38" s="44"/>
    </row>
    <row r="39" spans="1:54" x14ac:dyDescent="0.2">
      <c r="A39" s="45"/>
      <c r="B39" s="121" t="s">
        <v>43</v>
      </c>
      <c r="D39" s="119">
        <v>1.73</v>
      </c>
      <c r="E39" s="119">
        <v>2.97</v>
      </c>
      <c r="F39" s="251">
        <v>2.8695020000000002</v>
      </c>
      <c r="G39" s="252">
        <v>2.8953579999999999</v>
      </c>
      <c r="H39" s="44"/>
    </row>
    <row r="40" spans="1:54" x14ac:dyDescent="0.2">
      <c r="A40" s="45"/>
      <c r="B40" s="122"/>
      <c r="C40" s="44"/>
      <c r="D40" s="44"/>
      <c r="E40" s="127"/>
      <c r="F40" s="248" t="s">
        <v>49</v>
      </c>
      <c r="G40" s="127"/>
      <c r="H40" s="127"/>
      <c r="I40" s="127"/>
      <c r="J40" s="127"/>
      <c r="K40" s="127"/>
      <c r="L40" s="127"/>
      <c r="M40" s="127"/>
      <c r="N40" s="127"/>
      <c r="O40" s="127"/>
      <c r="P40" s="127"/>
      <c r="Q40" s="127"/>
      <c r="R40" s="127"/>
      <c r="S40" s="127"/>
      <c r="T40" s="127"/>
      <c r="U40" s="127"/>
      <c r="V40" s="127"/>
      <c r="W40" s="12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4" customFormat="1" x14ac:dyDescent="0.2">
      <c r="A41" s="123"/>
      <c r="B41" s="128" t="s">
        <v>188</v>
      </c>
      <c r="C41" s="129"/>
      <c r="D41" s="129"/>
      <c r="E41" s="129"/>
      <c r="F41" s="129"/>
      <c r="G41" s="130"/>
      <c r="H41" s="130"/>
      <c r="I41" s="130"/>
      <c r="J41" s="130"/>
      <c r="K41" s="130"/>
      <c r="L41" s="130"/>
      <c r="M41" s="130"/>
      <c r="N41" s="130"/>
      <c r="O41" s="130"/>
      <c r="P41" s="130"/>
      <c r="Q41" s="130"/>
      <c r="R41" s="130"/>
      <c r="S41" s="130"/>
      <c r="T41" s="130"/>
      <c r="U41" s="130"/>
      <c r="V41" s="130"/>
      <c r="W41" s="130"/>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row>
    <row r="42" spans="1:54" x14ac:dyDescent="0.2">
      <c r="A42" s="45"/>
      <c r="B42" s="45" t="s">
        <v>44</v>
      </c>
      <c r="C42" s="44">
        <v>4.6438790000000001</v>
      </c>
      <c r="D42" s="119">
        <v>5.6835380000000004</v>
      </c>
      <c r="E42" s="119">
        <v>3.4300320000000002</v>
      </c>
      <c r="F42" s="119">
        <v>3.9866290000000002</v>
      </c>
      <c r="G42" s="119">
        <v>2.5352489999999999</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4" customFormat="1" x14ac:dyDescent="0.2">
      <c r="A44" s="123"/>
      <c r="B44" s="128" t="s">
        <v>189</v>
      </c>
      <c r="C44" s="129"/>
      <c r="D44" s="129"/>
      <c r="E44" s="129"/>
      <c r="F44" s="129"/>
      <c r="G44" s="130"/>
      <c r="H44" s="130"/>
      <c r="I44" s="130"/>
      <c r="J44" s="130"/>
      <c r="K44" s="130"/>
      <c r="L44" s="130"/>
      <c r="M44" s="130"/>
      <c r="N44" s="130"/>
      <c r="O44" s="130"/>
      <c r="P44" s="130"/>
      <c r="Q44" s="130"/>
      <c r="R44" s="130"/>
      <c r="S44" s="130"/>
      <c r="T44" s="130"/>
      <c r="U44" s="130"/>
      <c r="V44" s="130"/>
      <c r="W44" s="130"/>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row>
    <row r="45" spans="1:54" x14ac:dyDescent="0.2">
      <c r="A45" s="45"/>
      <c r="B45" s="45" t="s">
        <v>15</v>
      </c>
      <c r="C45" s="44">
        <v>6.515600201946814</v>
      </c>
      <c r="D45" s="119">
        <v>11.704064728333291</v>
      </c>
      <c r="E45" s="119">
        <v>13.053490335238813</v>
      </c>
      <c r="F45" s="119">
        <v>6.8349944328923353</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10" customFormat="1" x14ac:dyDescent="0.2">
      <c r="A47" s="112"/>
      <c r="B47" s="111" t="s">
        <v>45</v>
      </c>
      <c r="C47" s="131"/>
      <c r="D47" s="131"/>
    </row>
    <row r="48" spans="1:54" x14ac:dyDescent="0.2">
      <c r="A48" s="45"/>
      <c r="B48" s="132"/>
      <c r="C48" s="44"/>
      <c r="D48" s="44"/>
      <c r="E48" s="260" t="s">
        <v>129</v>
      </c>
    </row>
    <row r="49" spans="1:5" x14ac:dyDescent="0.2">
      <c r="A49" s="45"/>
      <c r="B49" s="45" t="s">
        <v>46</v>
      </c>
      <c r="C49" s="48">
        <v>0.75</v>
      </c>
      <c r="D49" s="44"/>
      <c r="E49" s="45" t="s">
        <v>47</v>
      </c>
    </row>
    <row r="50" spans="1:5" x14ac:dyDescent="0.2">
      <c r="A50" s="45"/>
      <c r="B50" s="45" t="s">
        <v>190</v>
      </c>
      <c r="C50" s="44">
        <v>0.46200000000000002</v>
      </c>
      <c r="D50" s="44"/>
      <c r="E50" s="45" t="s">
        <v>48</v>
      </c>
    </row>
    <row r="51" spans="1:5" x14ac:dyDescent="0.2">
      <c r="A51" s="45"/>
      <c r="B51" s="45"/>
      <c r="C51" s="44"/>
      <c r="D51" s="44"/>
    </row>
    <row r="52" spans="1:5" x14ac:dyDescent="0.2">
      <c r="A52" s="45"/>
      <c r="B52" s="121" t="s">
        <v>177</v>
      </c>
      <c r="C52" s="133">
        <v>3.2046299999999999</v>
      </c>
      <c r="D52" s="44"/>
      <c r="E52" s="45" t="s">
        <v>49</v>
      </c>
    </row>
    <row r="53" spans="1:5" x14ac:dyDescent="0.2">
      <c r="A53" s="45"/>
      <c r="B53" s="121" t="s">
        <v>178</v>
      </c>
      <c r="C53" s="133">
        <v>2.7260900000000001</v>
      </c>
      <c r="D53" s="44"/>
      <c r="E53" s="45" t="s">
        <v>49</v>
      </c>
    </row>
    <row r="54" spans="1:5" x14ac:dyDescent="0.2">
      <c r="A54" s="45"/>
      <c r="B54" s="121" t="s">
        <v>179</v>
      </c>
      <c r="C54" s="119">
        <v>4</v>
      </c>
      <c r="D54" s="44"/>
      <c r="E54" s="45" t="s">
        <v>50</v>
      </c>
    </row>
    <row r="55" spans="1:5" x14ac:dyDescent="0.2">
      <c r="A55" s="45"/>
      <c r="B55" s="121" t="s">
        <v>180</v>
      </c>
      <c r="C55" s="119">
        <v>2</v>
      </c>
      <c r="D55" s="44"/>
      <c r="E55" s="45" t="s">
        <v>50</v>
      </c>
    </row>
    <row r="56" spans="1:5" x14ac:dyDescent="0.2">
      <c r="A56" s="45"/>
      <c r="B56" s="121"/>
      <c r="C56" s="44"/>
      <c r="D56" s="44"/>
    </row>
    <row r="57" spans="1:5" x14ac:dyDescent="0.2">
      <c r="A57" s="45"/>
      <c r="B57" s="45" t="s">
        <v>51</v>
      </c>
      <c r="C57" s="124">
        <v>2.28369E-2</v>
      </c>
      <c r="D57" s="147"/>
      <c r="E57" s="259" t="s">
        <v>130</v>
      </c>
    </row>
    <row r="58" spans="1:5" x14ac:dyDescent="0.2">
      <c r="A58" s="45"/>
      <c r="B58" s="45" t="s">
        <v>52</v>
      </c>
      <c r="C58" s="23">
        <f>1-C57</f>
        <v>0.97716309999999995</v>
      </c>
      <c r="E58" s="259" t="s">
        <v>130</v>
      </c>
    </row>
    <row r="59" spans="1:5" x14ac:dyDescent="0.2">
      <c r="A59" s="45"/>
      <c r="B59" s="45" t="s">
        <v>181</v>
      </c>
      <c r="C59" s="124">
        <v>7.1421700000000005E-2</v>
      </c>
      <c r="E59" s="259" t="s">
        <v>131</v>
      </c>
    </row>
    <row r="60" spans="1:5" x14ac:dyDescent="0.2">
      <c r="A60" s="45"/>
      <c r="B60" s="45"/>
      <c r="C60" s="124"/>
    </row>
    <row r="61" spans="1:5" x14ac:dyDescent="0.2">
      <c r="A61" s="45"/>
      <c r="B61" s="45" t="s">
        <v>182</v>
      </c>
      <c r="C61" s="134">
        <v>2.5499999999999998</v>
      </c>
      <c r="E61" s="45" t="s">
        <v>53</v>
      </c>
    </row>
    <row r="62" spans="1:5" x14ac:dyDescent="0.2">
      <c r="A62" s="45"/>
      <c r="B62" s="45" t="s">
        <v>183</v>
      </c>
      <c r="C62" s="124">
        <v>2</v>
      </c>
      <c r="E62" s="45" t="s">
        <v>54</v>
      </c>
    </row>
    <row r="63" spans="1:5" x14ac:dyDescent="0.2">
      <c r="A63" s="45"/>
      <c r="B63" s="45"/>
      <c r="C63" s="124"/>
      <c r="E63" s="45"/>
    </row>
    <row r="64" spans="1:5" x14ac:dyDescent="0.2">
      <c r="A64" s="45"/>
      <c r="B64" s="45" t="s">
        <v>176</v>
      </c>
      <c r="C64" s="119">
        <v>47.948117734801194</v>
      </c>
      <c r="E64" s="45" t="s">
        <v>171</v>
      </c>
    </row>
    <row r="65" spans="1:7" x14ac:dyDescent="0.2">
      <c r="A65" s="45"/>
      <c r="B65" s="45"/>
      <c r="C65" s="124"/>
      <c r="E65" s="45"/>
    </row>
    <row r="66" spans="1:7" x14ac:dyDescent="0.2">
      <c r="A66" s="45"/>
      <c r="B66" s="45" t="s">
        <v>55</v>
      </c>
      <c r="C66" s="138">
        <v>0.83872723229627832</v>
      </c>
      <c r="D66" s="1"/>
      <c r="E66" s="45" t="s">
        <v>56</v>
      </c>
    </row>
    <row r="67" spans="1:7" x14ac:dyDescent="0.2">
      <c r="A67" s="45"/>
      <c r="B67" s="258" t="s">
        <v>132</v>
      </c>
      <c r="C67" s="138">
        <v>6.3300179917925081E-2</v>
      </c>
      <c r="D67" s="1"/>
      <c r="E67" s="45" t="s">
        <v>56</v>
      </c>
    </row>
    <row r="68" spans="1:7" x14ac:dyDescent="0.2">
      <c r="A68" s="45"/>
      <c r="B68" s="258" t="s">
        <v>133</v>
      </c>
      <c r="C68" s="138">
        <v>2.2645040127761942E-2</v>
      </c>
      <c r="D68" s="1"/>
      <c r="E68" s="45" t="s">
        <v>56</v>
      </c>
    </row>
    <row r="69" spans="1:7" x14ac:dyDescent="0.2">
      <c r="A69" s="45"/>
      <c r="B69" s="121" t="s">
        <v>57</v>
      </c>
      <c r="C69" s="138">
        <v>7.3482523702670471E-2</v>
      </c>
      <c r="D69" s="1"/>
      <c r="E69" s="45" t="s">
        <v>56</v>
      </c>
    </row>
    <row r="70" spans="1:7" x14ac:dyDescent="0.2">
      <c r="A70" s="45"/>
      <c r="B70" s="121" t="s">
        <v>58</v>
      </c>
      <c r="C70" s="138">
        <v>1.84474902460226E-3</v>
      </c>
      <c r="D70" s="1"/>
      <c r="E70" s="45" t="s">
        <v>56</v>
      </c>
    </row>
    <row r="71" spans="1:7" x14ac:dyDescent="0.2">
      <c r="A71" s="45"/>
      <c r="B71" s="121"/>
      <c r="C71" s="44"/>
      <c r="E71" s="45"/>
    </row>
    <row r="72" spans="1:7" s="110" customFormat="1" x14ac:dyDescent="0.2">
      <c r="B72" s="111"/>
      <c r="C72" s="131"/>
      <c r="D72" s="131"/>
    </row>
    <row r="73" spans="1:7" x14ac:dyDescent="0.2">
      <c r="B73" s="135"/>
      <c r="C73" s="136"/>
      <c r="D73" s="136"/>
      <c r="E73" s="137"/>
      <c r="F73" s="137"/>
      <c r="G73" s="137"/>
    </row>
    <row r="74" spans="1:7" x14ac:dyDescent="0.2">
      <c r="A74" s="45"/>
      <c r="B74" s="259"/>
      <c r="C74" s="23"/>
      <c r="D74" s="23"/>
      <c r="E74" s="23"/>
      <c r="F74" s="23"/>
      <c r="G74" s="23"/>
    </row>
    <row r="75" spans="1:7" x14ac:dyDescent="0.2">
      <c r="A75" s="45"/>
      <c r="B75" s="259"/>
      <c r="C75" s="23"/>
      <c r="D75" s="23"/>
      <c r="E75" s="23"/>
      <c r="F75" s="23"/>
      <c r="G75" s="23"/>
    </row>
    <row r="76" spans="1:7" x14ac:dyDescent="0.2">
      <c r="A76" s="45"/>
      <c r="B76" s="259"/>
      <c r="C76" s="23"/>
      <c r="D76" s="23"/>
      <c r="E76" s="23"/>
      <c r="F76" s="23"/>
      <c r="G76" s="23"/>
    </row>
    <row r="77" spans="1:7" x14ac:dyDescent="0.2">
      <c r="A77" s="45"/>
      <c r="B77" s="259"/>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LU</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0.32530419999999999</v>
      </c>
      <c r="D12" s="1">
        <f>'Input data'!D13</f>
        <v>-0.27810010000000002</v>
      </c>
      <c r="E12" s="2">
        <f>'Input data'!E13</f>
        <v>0.28953679999999998</v>
      </c>
      <c r="F12" s="2">
        <f>'Input data'!F13</f>
        <v>9.7703100000000001E-2</v>
      </c>
      <c r="G12" s="1">
        <f>F12</f>
        <v>9.7703100000000001E-2</v>
      </c>
      <c r="H12" s="1">
        <f t="shared" ref="H12:W12" si="0">G12</f>
        <v>9.7703100000000001E-2</v>
      </c>
      <c r="I12" s="1">
        <f t="shared" si="0"/>
        <v>9.7703100000000001E-2</v>
      </c>
      <c r="J12" s="1">
        <f t="shared" si="0"/>
        <v>9.7703100000000001E-2</v>
      </c>
      <c r="K12" s="1">
        <f t="shared" si="0"/>
        <v>9.7703100000000001E-2</v>
      </c>
      <c r="L12" s="1">
        <f t="shared" si="0"/>
        <v>9.7703100000000001E-2</v>
      </c>
      <c r="M12" s="1">
        <f t="shared" si="0"/>
        <v>9.7703100000000001E-2</v>
      </c>
      <c r="N12" s="1">
        <f t="shared" si="0"/>
        <v>9.7703100000000001E-2</v>
      </c>
      <c r="O12" s="1">
        <f t="shared" si="0"/>
        <v>9.7703100000000001E-2</v>
      </c>
      <c r="P12" s="1">
        <f t="shared" si="0"/>
        <v>9.7703100000000001E-2</v>
      </c>
      <c r="Q12" s="1">
        <f t="shared" si="0"/>
        <v>9.7703100000000001E-2</v>
      </c>
      <c r="R12" s="1">
        <f t="shared" si="0"/>
        <v>9.7703100000000001E-2</v>
      </c>
      <c r="S12" s="1">
        <f t="shared" si="0"/>
        <v>9.7703100000000001E-2</v>
      </c>
      <c r="T12" s="1">
        <f t="shared" si="0"/>
        <v>9.7703100000000001E-2</v>
      </c>
      <c r="U12" s="1">
        <f t="shared" si="0"/>
        <v>9.7703100000000001E-2</v>
      </c>
      <c r="V12" s="1">
        <f t="shared" si="0"/>
        <v>9.7703100000000001E-2</v>
      </c>
      <c r="W12" s="1">
        <f t="shared" si="0"/>
        <v>9.7703100000000001E-2</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0</v>
      </c>
      <c r="D13" s="1">
        <f>'Input data'!D14</f>
        <v>0</v>
      </c>
      <c r="E13" s="2">
        <f>'Input data'!E14</f>
        <v>0</v>
      </c>
      <c r="F13" s="2">
        <f>'Input data'!F14</f>
        <v>0</v>
      </c>
      <c r="G13" s="2">
        <f>'Input data'!G14</f>
        <v>0</v>
      </c>
      <c r="H13" s="2">
        <v>0</v>
      </c>
      <c r="I13" s="2">
        <v>0</v>
      </c>
      <c r="J13" s="2">
        <v>0</v>
      </c>
      <c r="K13" s="2">
        <v>0</v>
      </c>
      <c r="L13" s="2">
        <v>0</v>
      </c>
      <c r="M13" s="2">
        <v>0</v>
      </c>
      <c r="N13" s="2">
        <v>0</v>
      </c>
      <c r="O13" s="2">
        <v>0</v>
      </c>
      <c r="P13" s="2">
        <v>0</v>
      </c>
      <c r="Q13" s="2">
        <v>0</v>
      </c>
      <c r="R13" s="2">
        <v>0</v>
      </c>
      <c r="S13" s="2">
        <v>0</v>
      </c>
      <c r="T13" s="2">
        <v>0</v>
      </c>
      <c r="U13" s="2">
        <v>0</v>
      </c>
      <c r="V13" s="2">
        <v>0</v>
      </c>
      <c r="W13" s="2">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59</v>
      </c>
      <c r="C14" s="1">
        <f>'Input data'!C15</f>
        <v>3.1046429999999998</v>
      </c>
      <c r="D14" s="1">
        <f>'Input data'!D15</f>
        <v>1.5134049999999999</v>
      </c>
      <c r="E14" s="2">
        <f>'Input data'!E15</f>
        <v>0.23943519999999999</v>
      </c>
      <c r="F14" s="2">
        <f>'Input data'!F15</f>
        <v>1.0366949999999999</v>
      </c>
      <c r="G14" s="2">
        <f>'Input data'!G15</f>
        <v>1.0661879999999999</v>
      </c>
      <c r="H14" s="2">
        <f>'Input data'!H15</f>
        <v>1.0058400000000001</v>
      </c>
      <c r="I14" s="2">
        <f>'Input data'!I15</f>
        <v>0.90413500000000002</v>
      </c>
      <c r="J14" s="2">
        <f>'Input data'!J15</f>
        <v>0.79055200000000003</v>
      </c>
      <c r="K14" s="2">
        <f>'Input data'!K15</f>
        <v>0.65862969999999998</v>
      </c>
      <c r="L14" s="2">
        <f>'Input data'!L15</f>
        <v>0.49461250000000001</v>
      </c>
      <c r="M14" s="2">
        <f>'Input data'!M15</f>
        <v>0.32602239999999999</v>
      </c>
      <c r="N14" s="2">
        <f>'Input data'!N15</f>
        <v>0.15586639999999999</v>
      </c>
      <c r="O14" s="2">
        <f>'Input data'!O15</f>
        <v>-2.03857E-2</v>
      </c>
      <c r="P14" s="2">
        <f>'Input data'!P15</f>
        <v>-0.19921710000000001</v>
      </c>
      <c r="Q14" s="2">
        <f>'Input data'!Q15</f>
        <v>-0.3653266</v>
      </c>
      <c r="R14" s="2">
        <f>'Input data'!R15</f>
        <v>-0.52362160000000002</v>
      </c>
      <c r="S14" s="2">
        <f>'Input data'!S15</f>
        <v>-0.68878539999999999</v>
      </c>
      <c r="T14" s="2">
        <f>'Input data'!T15</f>
        <v>-0.84298320000000004</v>
      </c>
      <c r="U14" s="2">
        <f>'Input data'!U15</f>
        <v>-0.99308909999999995</v>
      </c>
      <c r="V14" s="2">
        <f>'Input data'!V15</f>
        <v>-1.145699</v>
      </c>
      <c r="W14" s="2">
        <f>'Input data'!W15</f>
        <v>-1.3113919999999999</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15.657</v>
      </c>
      <c r="E17" s="79">
        <f>'Input data'!E20</f>
        <v>15.804749999999999</v>
      </c>
      <c r="F17" s="79">
        <f>'Input data'!F20</f>
        <v>15.831990000000001</v>
      </c>
      <c r="G17" s="79">
        <f>'Input data'!G20</f>
        <v>15.751250000000001</v>
      </c>
      <c r="H17" s="79">
        <f>'Input data'!H20</f>
        <v>15.68426</v>
      </c>
      <c r="I17" s="79">
        <f>'Input data'!I20</f>
        <v>15.683599999999998</v>
      </c>
      <c r="J17" s="79">
        <f>'Input data'!J20</f>
        <v>15.77327</v>
      </c>
      <c r="K17" s="79">
        <f>'Input data'!K20</f>
        <v>15.917799999999998</v>
      </c>
      <c r="L17" s="79">
        <f>'Input data'!L20</f>
        <v>16.102689999999999</v>
      </c>
      <c r="M17" s="79">
        <f>'Input data'!M20</f>
        <v>16.290130000000001</v>
      </c>
      <c r="N17" s="79">
        <f>'Input data'!N20</f>
        <v>16.487660000000002</v>
      </c>
      <c r="O17" s="79">
        <f>'Input data'!O20</f>
        <v>16.680799999999998</v>
      </c>
      <c r="P17" s="79">
        <f>'Input data'!P20</f>
        <v>16.87556</v>
      </c>
      <c r="Q17" s="79">
        <f>'Input data'!Q20</f>
        <v>17.048379999999998</v>
      </c>
      <c r="R17" s="79">
        <f>'Input data'!R20</f>
        <v>17.213420000000003</v>
      </c>
      <c r="S17" s="79">
        <f>'Input data'!S20</f>
        <v>17.378629999999998</v>
      </c>
      <c r="T17" s="79">
        <f>'Input data'!T20</f>
        <v>17.541350000000001</v>
      </c>
      <c r="U17" s="79">
        <f>'Input data'!U20</f>
        <v>17.693180000000002</v>
      </c>
      <c r="V17" s="79">
        <f>'Input data'!V20</f>
        <v>17.836359999999999</v>
      </c>
      <c r="W17" s="79">
        <f>'Input data'!W20</f>
        <v>17.99015</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1.1620919999999999</v>
      </c>
      <c r="D18" s="1">
        <f>'Input data'!D26</f>
        <v>1.1207419999999999</v>
      </c>
      <c r="E18" s="79">
        <f>'Input data'!E26</f>
        <v>1.1188480000000001</v>
      </c>
      <c r="F18" s="79">
        <f>'Input data'!F26</f>
        <v>1.1169530000000001</v>
      </c>
      <c r="G18" s="79">
        <f>'Input data'!G26</f>
        <v>1.115059</v>
      </c>
      <c r="H18" s="79">
        <f>'Input data'!H26</f>
        <v>1.113165</v>
      </c>
      <c r="I18" s="79">
        <f>'Input data'!I26</f>
        <v>1.11127</v>
      </c>
      <c r="J18" s="79">
        <f>'Input data'!J26</f>
        <v>1.1093759999999999</v>
      </c>
      <c r="K18" s="79">
        <f>'Input data'!K26</f>
        <v>1.1074809999999999</v>
      </c>
      <c r="L18" s="79">
        <f>'Input data'!L26</f>
        <v>1.1055870000000001</v>
      </c>
      <c r="M18" s="79">
        <f>'Input data'!M26</f>
        <v>1.103693</v>
      </c>
      <c r="N18" s="79">
        <f>'Input data'!N26</f>
        <v>1.1017980000000001</v>
      </c>
      <c r="O18" s="79">
        <f>'Input data'!O26</f>
        <v>1.099904</v>
      </c>
      <c r="P18" s="79">
        <f>'Input data'!P26</f>
        <v>1.0980099999999999</v>
      </c>
      <c r="Q18" s="79">
        <f>'Input data'!Q26</f>
        <v>1.096115</v>
      </c>
      <c r="R18" s="79">
        <f>'Input data'!R26</f>
        <v>1.0942210000000001</v>
      </c>
      <c r="S18" s="79">
        <f>'Input data'!S26</f>
        <v>1.092327</v>
      </c>
      <c r="T18" s="79">
        <f>'Input data'!T26</f>
        <v>1.0904320000000001</v>
      </c>
      <c r="U18" s="79">
        <f>'Input data'!U26</f>
        <v>1.088538</v>
      </c>
      <c r="V18" s="79">
        <f>'Input data'!V26</f>
        <v>1.0866439999999999</v>
      </c>
      <c r="W18" s="79">
        <f>'Input data'!W26</f>
        <v>1.084749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60</v>
      </c>
    </row>
    <row r="21" spans="1:50" ht="10.5" customHeight="1" x14ac:dyDescent="0.2">
      <c r="B21" s="19" t="s">
        <v>61</v>
      </c>
    </row>
    <row r="22" spans="1:50" x14ac:dyDescent="0.2">
      <c r="B22" s="15" t="s">
        <v>39</v>
      </c>
      <c r="C22" s="23">
        <f>'Input data'!C31</f>
        <v>63.703299999999999</v>
      </c>
      <c r="D22" s="23">
        <f>C22*(D23/100+1)</f>
        <v>64.582529761434998</v>
      </c>
      <c r="E22" s="78">
        <f t="shared" ref="E22:F22" si="1">D22*(E23/100+1)</f>
        <v>63.874879608080029</v>
      </c>
      <c r="F22" s="78">
        <f t="shared" si="1"/>
        <v>64.793115494881178</v>
      </c>
      <c r="G22" s="78">
        <f>F22*(G23/100+1)</f>
        <v>66.079446737489505</v>
      </c>
      <c r="H22" s="23">
        <f>IF(AND(H49&gt;1,G49&gt;1),IF(AND(H49&gt;0,G49&gt;0),H26*(H50/100+1),0)+IF(H49&gt;0,G22*(1+H51/100),0)-G22*(1+'Input data'!H30/100),IF(H49=1,H26,G22*(1+H51/100)))</f>
        <v>67.969735875490613</v>
      </c>
      <c r="I22" s="23">
        <f>IF(AND(I49&gt;1,H49&gt;1),IF(AND(I49&gt;0,H49&gt;0),I26*(I50/100+1),0)+IF(I49&gt;0,H22*(1+I51/100),0)-H22*(1+'Input data'!I30/100),IF(I49=1,I26,H22*(1+I51/100)))</f>
        <v>70.160127224419455</v>
      </c>
      <c r="J22" s="23">
        <f>IF(AND(J49&gt;1,I49&gt;1),IF(AND(J49&gt;0,I49&gt;0),J26*(J50/100+1),0)+IF(J49&gt;0,I22*(1+J51/100),0)-I22*(1+'Input data'!J30/100),IF(J49=1,J26,I22*(1+J51/100)))</f>
        <v>71.983156042997138</v>
      </c>
      <c r="K22" s="23">
        <f>IF(AND(K49&gt;1,J49&gt;1),IF(AND(K49&gt;0,J49&gt;0),K26*(K50/100+1),0)+IF(K49&gt;0,J22*(1+K51/100),0)-J22*(1+'Input data'!K30/100),IF(K49=1,K26,J22*(1+K51/100)))</f>
        <v>73.327859704236715</v>
      </c>
      <c r="L22" s="23">
        <f>IF(AND(L49&gt;1,K49&gt;1),IF(AND(L49&gt;0,K49&gt;0),L26*(L50/100+1),0)+IF(L49&gt;0,K22*(1+L51/100),0)-K22*(1+'Input data'!L30/100),IF(L49=1,L26,K22*(1+L51/100)))</f>
        <v>74.653177174630741</v>
      </c>
      <c r="M22" s="23">
        <f>IF(AND(M49&gt;1,L49&gt;1),IF(AND(M49&gt;0,L49&gt;0),M26*(M50/100+1),0)+IF(M49&gt;0,L22*(1+M51/100),0)-L22*(1+'Input data'!M30/100),IF(M49=1,M26,L22*(1+M51/100)))</f>
        <v>75.947625940250262</v>
      </c>
      <c r="N22" s="23">
        <f>IF(AND(N49&gt;1,M49&gt;1),IF(AND(N49&gt;0,M49&gt;0),N26*(N50/100+1),0)+IF(N49&gt;0,M22*(1+N51/100),0)-M22*(1+'Input data'!N30/100),IF(N49=1,N26,M22*(1+N51/100)))</f>
        <v>77.207849200717135</v>
      </c>
      <c r="O22" s="23">
        <f>IF(AND(O49&gt;1,N49&gt;1),IF(AND(O49&gt;0,N49&gt;0),O26*(O50/100+1),0)+IF(O49&gt;0,N22*(1+O51/100),0)-N22*(1+'Input data'!O30/100),IF(O49=1,O26,N22*(1+O51/100)))</f>
        <v>78.486314673669511</v>
      </c>
      <c r="P22" s="23">
        <f>IF(AND(P49&gt;1,O49&gt;1),IF(AND(P49&gt;0,O49&gt;0),P26*(P50/100+1),0)+IF(P49&gt;0,O22*(1+P51/100),0)-O22*(1+'Input data'!P30/100),IF(P49=1,P26,O22*(1+P51/100)))</f>
        <v>79.82091715968555</v>
      </c>
      <c r="Q22" s="23">
        <f>IF(AND(Q49&gt;1,P49&gt;1),IF(AND(Q49&gt;0,P49&gt;0),Q26*(Q50/100+1),0)+IF(Q49&gt;0,P22*(1+Q51/100),0)-P22*(1+'Input data'!Q30/100),IF(Q49=1,Q26,P22*(1+Q51/100)))</f>
        <v>81.213777796356965</v>
      </c>
      <c r="R22" s="23">
        <f>IF(AND(R49&gt;1,Q49&gt;1),IF(AND(R49&gt;0,Q49&gt;0),R26*(R50/100+1),0)+IF(R49&gt;0,Q22*(1+R51/100),0)-Q22*(1+'Input data'!R30/100),IF(R49=1,R26,Q22*(1+R51/100)))</f>
        <v>82.667131647671667</v>
      </c>
      <c r="S22" s="23">
        <f>IF(AND(S49&gt;1,R49&gt;1),IF(AND(S49&gt;0,R49&gt;0),S26*(S50/100+1),0)+IF(S49&gt;0,R22*(1+S51/100),0)-R22*(1+'Input data'!S30/100),IF(S49=1,S26,R22*(1+S51/100)))</f>
        <v>84.217767809594719</v>
      </c>
      <c r="T22" s="23">
        <f>IF(AND(T49&gt;1,S49&gt;1),IF(AND(T49&gt;0,S49&gt;0),T26*(T50/100+1),0)+IF(T49&gt;0,S22*(1+T51/100),0)-S22*(1+'Input data'!T30/100),IF(T49=1,T26,S22*(1+T51/100)))</f>
        <v>85.894960444634407</v>
      </c>
      <c r="U22" s="23">
        <f>IF(AND(U49&gt;1,T49&gt;1),IF(AND(U49&gt;0,T49&gt;0),U26*(U50/100+1),0)+IF(U49&gt;0,T22*(1+U51/100),0)-T22*(1+'Input data'!U30/100),IF(U49=1,U26,T22*(1+U51/100)))</f>
        <v>87.723436530855494</v>
      </c>
      <c r="V22" s="23">
        <f>IF(AND(V49&gt;1,U49&gt;1),IF(AND(V49&gt;0,U49&gt;0),V26*(V50/100+1),0)+IF(V49&gt;0,U22*(1+V51/100),0)-U22*(1+'Input data'!V30/100),IF(V49=1,V26,U22*(1+V51/100)))</f>
        <v>89.696482239339076</v>
      </c>
      <c r="W22" s="23">
        <f>IF(AND(W49&gt;1,V49&gt;1),IF(AND(W49&gt;0,V49&gt;0),W26*(W50/100+1),0)+IF(W49&gt;0,V22*(1+W51/100),0)-V22*(1+'Input data'!W30/100),IF(W49=1,W26,V22*(1+W51/100)))</f>
        <v>91.693621058568723</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7.1684039999999998</v>
      </c>
      <c r="D23" s="23">
        <f>+'Input data'!D30</f>
        <v>1.3801950000000001</v>
      </c>
      <c r="E23" s="78">
        <f>+'Input data'!E30</f>
        <v>-1.0957300000000001</v>
      </c>
      <c r="F23" s="78">
        <f>+'Input data'!F30</f>
        <v>1.437554</v>
      </c>
      <c r="G23" s="78">
        <f>+'Input data'!G30</f>
        <v>1.98529</v>
      </c>
      <c r="H23" s="23">
        <f>100*(H22/G22-1)</f>
        <v>2.8606310000000024</v>
      </c>
      <c r="I23" s="23">
        <f>100*(I22/H22-1)</f>
        <v>3.2225979999999987</v>
      </c>
      <c r="J23" s="23">
        <f t="shared" ref="J23:T23" si="2">100*(J22/I22-1)</f>
        <v>2.598382999999993</v>
      </c>
      <c r="K23" s="23">
        <f t="shared" si="2"/>
        <v>1.8680809999999992</v>
      </c>
      <c r="L23" s="23">
        <f t="shared" si="2"/>
        <v>1.8073860000000108</v>
      </c>
      <c r="M23" s="23">
        <f t="shared" si="2"/>
        <v>1.7339500000000063</v>
      </c>
      <c r="N23" s="23">
        <f t="shared" si="2"/>
        <v>1.6593319999999911</v>
      </c>
      <c r="O23" s="23">
        <f t="shared" si="2"/>
        <v>1.6558749999999955</v>
      </c>
      <c r="P23" s="23">
        <f t="shared" si="2"/>
        <v>1.7004269999999932</v>
      </c>
      <c r="Q23" s="23">
        <f t="shared" si="2"/>
        <v>1.7449819999999949</v>
      </c>
      <c r="R23" s="23">
        <f t="shared" si="2"/>
        <v>1.7895409999999945</v>
      </c>
      <c r="S23" s="23">
        <f t="shared" si="2"/>
        <v>1.8757590000000102</v>
      </c>
      <c r="T23" s="23">
        <f t="shared" si="2"/>
        <v>1.9914949999999987</v>
      </c>
      <c r="U23" s="23">
        <f t="shared" ref="U23" si="3">100*(U22/T22-1)</f>
        <v>2.1287349999999927</v>
      </c>
      <c r="V23" s="23">
        <f t="shared" ref="V23" si="4">100*(V22/U22-1)</f>
        <v>2.2491660000000024</v>
      </c>
      <c r="W23" s="23">
        <f t="shared" ref="W23" si="5">100*(W22/V22-1)</f>
        <v>2.2265519999999928</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3"/>
      <c r="B25" s="19" t="s">
        <v>62</v>
      </c>
      <c r="C25" s="152"/>
      <c r="D25" s="152"/>
      <c r="E25" s="152"/>
      <c r="F25" s="152"/>
      <c r="H25" s="178"/>
      <c r="I25" s="178"/>
      <c r="J25" s="178"/>
      <c r="K25" s="178"/>
      <c r="L25" s="178"/>
      <c r="M25" s="178"/>
      <c r="N25" s="178"/>
      <c r="O25" s="178"/>
      <c r="P25" s="178"/>
      <c r="Q25" s="178"/>
      <c r="R25" s="178"/>
      <c r="S25" s="178"/>
      <c r="T25" s="178"/>
    </row>
    <row r="26" spans="1:50" x14ac:dyDescent="0.2">
      <c r="B26" s="15" t="s">
        <v>39</v>
      </c>
      <c r="C26" s="23">
        <f>'Input data'!C34</f>
        <v>63.190869999999997</v>
      </c>
      <c r="D26" s="23">
        <f>+C26*(1+'Input data'!D33/100)</f>
        <v>64.457839360595599</v>
      </c>
      <c r="E26" s="78">
        <f>+D26*(1+'Input data'!E33/100)</f>
        <v>65.635468615832224</v>
      </c>
      <c r="F26" s="78">
        <f>+E26*(1+'Input data'!F33/100)</f>
        <v>66.855040601828321</v>
      </c>
      <c r="G26" s="78">
        <f>+F26*(1+'Input data'!G33/100)</f>
        <v>68.050190111806245</v>
      </c>
      <c r="H26" s="23">
        <f>+G26*(1+'Input data'!H33/100)</f>
        <v>69.307851534334787</v>
      </c>
      <c r="I26" s="23">
        <f>+H26*(1+'Input data'!I33/100)</f>
        <v>70.614574143299464</v>
      </c>
      <c r="J26" s="23">
        <f>+I26*(1+'Input data'!J33/100)</f>
        <v>71.983154498624998</v>
      </c>
      <c r="K26" s="23">
        <f>+J26*(1+'Input data'!K33/100)</f>
        <v>73.327861730172174</v>
      </c>
      <c r="L26" s="23">
        <f>+K26*(1+'Input data'!L33/100)</f>
        <v>74.653179970461281</v>
      </c>
      <c r="M26" s="23">
        <f>+L26*(1+'Input data'!M33/100)</f>
        <v>75.947631024154504</v>
      </c>
      <c r="N26" s="23">
        <f>+M26*(1+'Input data'!N33/100)</f>
        <v>77.207853609503914</v>
      </c>
      <c r="O26" s="23">
        <f>+N26*(1+'Input data'!O33/100)</f>
        <v>78.486317611303221</v>
      </c>
      <c r="P26" s="23">
        <f>+O26*(1+'Input data'!P33/100)</f>
        <v>79.820920932134754</v>
      </c>
      <c r="Q26" s="23">
        <f>+P26*(1+'Input data'!Q33/100)</f>
        <v>81.213783231053156</v>
      </c>
      <c r="R26" s="23">
        <f>+Q26*(1+'Input data'!R33/100)</f>
        <v>82.667136367486151</v>
      </c>
      <c r="S26" s="23">
        <f>+R26*(1+'Input data'!S33/100)</f>
        <v>84.217775097955624</v>
      </c>
      <c r="T26" s="23">
        <f>+S26*(1+'Input data'!T33/100)</f>
        <v>85.894969562498162</v>
      </c>
      <c r="U26" s="23">
        <f>+T26*(1+'Input data'!U33/100)</f>
        <v>87.723444983864709</v>
      </c>
      <c r="V26" s="23">
        <f>+U26*(1+'Input data'!V33/100)</f>
        <v>89.696487373532705</v>
      </c>
      <c r="W26" s="23">
        <f>+V26*(1+'Input data'!W33/100)</f>
        <v>91.693624513148094</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63</v>
      </c>
      <c r="C29" s="23">
        <f t="shared" ref="C29:T29" si="6">100*(C22/C26-1)</f>
        <v>0.81092410976459917</v>
      </c>
      <c r="D29" s="23">
        <f t="shared" si="6"/>
        <v>0.19344489681363264</v>
      </c>
      <c r="E29" s="78">
        <f t="shared" si="6"/>
        <v>-2.6823744004282446</v>
      </c>
      <c r="F29" s="78">
        <f t="shared" si="6"/>
        <v>-3.0841729933685169</v>
      </c>
      <c r="G29" s="78">
        <f t="shared" si="6"/>
        <v>-2.8960145020591632</v>
      </c>
      <c r="H29" s="23">
        <f>100*(H22/H26-1)</f>
        <v>-1.9306840844450002</v>
      </c>
      <c r="I29" s="23">
        <f t="shared" si="6"/>
        <v>-0.64355966794870101</v>
      </c>
      <c r="J29" s="23">
        <f t="shared" si="6"/>
        <v>2.1454632737061274E-6</v>
      </c>
      <c r="K29" s="23">
        <f t="shared" si="6"/>
        <v>-2.7628454080108611E-6</v>
      </c>
      <c r="L29" s="23">
        <f t="shared" si="6"/>
        <v>-3.7450923584536611E-6</v>
      </c>
      <c r="M29" s="23">
        <f t="shared" si="6"/>
        <v>-6.6939602638704798E-6</v>
      </c>
      <c r="N29" s="23">
        <f t="shared" si="6"/>
        <v>-5.7102827910604503E-6</v>
      </c>
      <c r="O29" s="23">
        <f t="shared" si="6"/>
        <v>-3.742860921196467E-6</v>
      </c>
      <c r="P29" s="23">
        <f t="shared" si="6"/>
        <v>-4.7261409119592201E-6</v>
      </c>
      <c r="Q29" s="23">
        <f t="shared" si="6"/>
        <v>-6.691839704586755E-6</v>
      </c>
      <c r="R29" s="23">
        <f t="shared" si="6"/>
        <v>-5.7094205696550659E-6</v>
      </c>
      <c r="S29" s="23">
        <f t="shared" si="6"/>
        <v>-8.6541836252784776E-6</v>
      </c>
      <c r="T29" s="23">
        <f t="shared" si="6"/>
        <v>-1.061513125177882E-5</v>
      </c>
      <c r="U29" s="23">
        <f t="shared" ref="U29:W29" si="7">100*(U22/U26-1)</f>
        <v>-9.6359749846008924E-6</v>
      </c>
      <c r="V29" s="23">
        <f t="shared" si="7"/>
        <v>-5.7239628703520395E-6</v>
      </c>
      <c r="W29" s="23">
        <f t="shared" si="7"/>
        <v>-3.7675240704970747E-6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8">100*((1+C23/100)*(1+C41/100)-1)</f>
        <v>12.14517500799117</v>
      </c>
      <c r="D32" s="1">
        <f t="shared" si="8"/>
        <v>7.1421769072991026</v>
      </c>
      <c r="E32" s="2">
        <f t="shared" si="8"/>
        <v>2.2967181103664025</v>
      </c>
      <c r="F32" s="2">
        <f t="shared" si="8"/>
        <v>5.4814929446546756</v>
      </c>
      <c r="G32" s="2">
        <f>100*((1+G23/100)*(1+G41/100)-1)</f>
        <v>4.5708710448721046</v>
      </c>
      <c r="H32" s="1">
        <f>100*((1+H23/100)*(1+H41/100)-1)</f>
        <v>5.4703007402810311</v>
      </c>
      <c r="I32" s="1">
        <f t="shared" si="8"/>
        <v>5.8433544749267652</v>
      </c>
      <c r="J32" s="1">
        <f t="shared" si="8"/>
        <v>5.2051828368272934</v>
      </c>
      <c r="K32" s="1">
        <f t="shared" si="8"/>
        <v>4.4582037851858436</v>
      </c>
      <c r="L32" s="1">
        <f t="shared" si="8"/>
        <v>4.3978427401841769</v>
      </c>
      <c r="M32" s="1">
        <f t="shared" si="8"/>
        <v>4.3244140312588719</v>
      </c>
      <c r="N32" s="1">
        <f t="shared" si="8"/>
        <v>4.2497704949920667</v>
      </c>
      <c r="O32" s="1">
        <f t="shared" si="8"/>
        <v>4.2480998125000058</v>
      </c>
      <c r="P32" s="1">
        <f t="shared" si="8"/>
        <v>4.2658202710750048</v>
      </c>
      <c r="Q32" s="1">
        <f t="shared" si="8"/>
        <v>4.2835193009000072</v>
      </c>
      <c r="R32" s="1">
        <f t="shared" si="8"/>
        <v>4.3011979241750042</v>
      </c>
      <c r="S32" s="1">
        <f t="shared" si="8"/>
        <v>4.3615275196000169</v>
      </c>
      <c r="T32" s="1">
        <f t="shared" si="8"/>
        <v>4.4520398168749864</v>
      </c>
      <c r="U32" s="1">
        <f t="shared" si="8"/>
        <v>4.5645053297499905</v>
      </c>
      <c r="V32" s="1">
        <f t="shared" si="8"/>
        <v>4.659690088449997</v>
      </c>
      <c r="W32" s="1">
        <f t="shared" si="8"/>
        <v>4.6084306615999937</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65</v>
      </c>
    </row>
    <row r="35" spans="2:51" x14ac:dyDescent="0.2">
      <c r="B35" s="15" t="s">
        <v>41</v>
      </c>
      <c r="C35" s="1">
        <f>'Input data'!C37</f>
        <v>0.72664200000000001</v>
      </c>
      <c r="D35" s="1">
        <f>'Input data'!D37</f>
        <v>0.70384469999999999</v>
      </c>
      <c r="E35" s="2">
        <f>'Input data'!E37</f>
        <v>1.2501800000000001</v>
      </c>
      <c r="F35" s="2">
        <f>'Input data'!F37</f>
        <v>1.5276190000000001</v>
      </c>
      <c r="G35" s="2">
        <f>'Input data'!G37</f>
        <v>1.6779250000000001</v>
      </c>
      <c r="H35" s="1">
        <f>H96</f>
        <v>1.8083152228165538</v>
      </c>
      <c r="I35" s="1">
        <f t="shared" ref="I35:W35" si="9">I96</f>
        <v>1.9111785380966653</v>
      </c>
      <c r="J35" s="1">
        <f t="shared" si="9"/>
        <v>1.9923754103450946</v>
      </c>
      <c r="K35" s="1">
        <f t="shared" si="9"/>
        <v>2.0681316549813973</v>
      </c>
      <c r="L35" s="1">
        <f t="shared" si="9"/>
        <v>2.1498943367246941</v>
      </c>
      <c r="M35" s="1">
        <f t="shared" si="9"/>
        <v>2.2367078108477521</v>
      </c>
      <c r="N35" s="1">
        <f t="shared" si="9"/>
        <v>2.327194736861939</v>
      </c>
      <c r="O35" s="1">
        <f t="shared" si="9"/>
        <v>2.4202761752468058</v>
      </c>
      <c r="P35" s="1">
        <f t="shared" si="9"/>
        <v>2.5139238347740496</v>
      </c>
      <c r="Q35" s="1">
        <f t="shared" si="9"/>
        <v>2.6019604576591382</v>
      </c>
      <c r="R35" s="1">
        <f t="shared" si="9"/>
        <v>2.6846756973689003</v>
      </c>
      <c r="S35" s="1">
        <f t="shared" si="9"/>
        <v>2.7625824563807075</v>
      </c>
      <c r="T35" s="1">
        <f>T96</f>
        <v>2.8360417474672666</v>
      </c>
      <c r="U35" s="1">
        <f t="shared" si="9"/>
        <v>2.9056732089620949</v>
      </c>
      <c r="V35" s="1">
        <f t="shared" si="9"/>
        <v>2.9717680162522848</v>
      </c>
      <c r="W35" s="1">
        <f t="shared" si="9"/>
        <v>3.0345499896351593</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66</v>
      </c>
      <c r="C36" s="1"/>
      <c r="D36" s="1"/>
      <c r="E36" s="2">
        <f>'Input data'!E39</f>
        <v>2.97</v>
      </c>
      <c r="F36" s="138">
        <f>'Input data'!F39</f>
        <v>2.8695020000000002</v>
      </c>
      <c r="G36" s="138">
        <f>'Input data'!G39</f>
        <v>2.8953579999999999</v>
      </c>
      <c r="H36" s="1">
        <f>G36+($O$36-$G$36)/($O$10-$G$10)</f>
        <v>2.9340169999999999</v>
      </c>
      <c r="I36" s="1">
        <f t="shared" ref="I36:M36" si="10">H36+($O$36-$G$36)/($O$10-$G$10)</f>
        <v>2.9726759999999999</v>
      </c>
      <c r="J36" s="1">
        <f t="shared" si="10"/>
        <v>3.0113349999999999</v>
      </c>
      <c r="K36" s="1">
        <f t="shared" si="10"/>
        <v>3.0499939999999999</v>
      </c>
      <c r="L36" s="1">
        <f t="shared" si="10"/>
        <v>3.0886529999999999</v>
      </c>
      <c r="M36" s="1">
        <f t="shared" si="10"/>
        <v>3.1273119999999999</v>
      </c>
      <c r="N36" s="1">
        <f>M36+($O$36-$G$36)/($O$10-$G$10)</f>
        <v>3.1659709999999999</v>
      </c>
      <c r="O36" s="172">
        <f>'Input data'!$C$52</f>
        <v>3.2046299999999999</v>
      </c>
      <c r="P36" s="1">
        <f>$O$36+('Input data'!$C$54-'Input data'!$C$52)/20*('Baseline NFPC'!P$10-2033)</f>
        <v>3.2443985</v>
      </c>
      <c r="Q36" s="1">
        <f>$O$36+('Input data'!$C$54-'Input data'!$C$52)/20*('Baseline NFPC'!Q$10-2033)</f>
        <v>3.2841670000000001</v>
      </c>
      <c r="R36" s="1">
        <f>$O$36+('Input data'!$C$54-'Input data'!$C$52)/20*('Baseline NFPC'!R$10-2033)</f>
        <v>3.3239354999999997</v>
      </c>
      <c r="S36" s="1">
        <f>$O$36+('Input data'!$C$54-'Input data'!$C$52)/20*('Baseline NFPC'!S$10-2033)</f>
        <v>3.3637039999999998</v>
      </c>
      <c r="T36" s="1">
        <f>$O$36+('Input data'!$C$54-'Input data'!$C$52)/20*('Baseline NFPC'!T$10-2033)</f>
        <v>3.4034724999999999</v>
      </c>
      <c r="U36" s="1">
        <f>$O$36+('Input data'!$C$54-'Input data'!$C$52)/20*('Baseline NFPC'!U$10-2033)</f>
        <v>3.443241</v>
      </c>
      <c r="V36" s="1">
        <f>$O$36+('Input data'!$C$54-'Input data'!$C$52)/20*('Baseline NFPC'!V$10-2033)</f>
        <v>3.4830095000000001</v>
      </c>
      <c r="W36" s="1">
        <f>$O$36+('Input data'!$C$54-'Input data'!$C$52)/20*('Baseline NFPC'!W$10-2033)</f>
        <v>3.5227779999999997</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67</v>
      </c>
      <c r="C37" s="1"/>
      <c r="D37" s="1"/>
      <c r="E37" s="2">
        <f>'Input data'!E$38</f>
        <v>3.43</v>
      </c>
      <c r="F37" s="138">
        <f>'Input data'!F$38</f>
        <v>3.5642079999999998</v>
      </c>
      <c r="G37" s="138">
        <f>'Input data'!G$38</f>
        <v>2.8163749999999999</v>
      </c>
      <c r="H37" s="1">
        <f>G37+($O$37-$G$37)/($O$10-$G$10)</f>
        <v>2.8050893749999997</v>
      </c>
      <c r="I37" s="1">
        <f t="shared" ref="I37:N37" si="11">H37+($O$37-$G$37)/($O$10-$G$10)</f>
        <v>2.7938037499999995</v>
      </c>
      <c r="J37" s="1">
        <f t="shared" si="11"/>
        <v>2.7825181249999993</v>
      </c>
      <c r="K37" s="1">
        <f t="shared" si="11"/>
        <v>2.7712324999999991</v>
      </c>
      <c r="L37" s="1">
        <f t="shared" si="11"/>
        <v>2.7599468749999989</v>
      </c>
      <c r="M37" s="1">
        <f t="shared" si="11"/>
        <v>2.7486612499999987</v>
      </c>
      <c r="N37" s="1">
        <f t="shared" si="11"/>
        <v>2.7373756249999985</v>
      </c>
      <c r="O37" s="172">
        <f>'Input data'!$C$53</f>
        <v>2.7260900000000001</v>
      </c>
      <c r="P37" s="1">
        <f>$O$37+('Input data'!$C$55-'Input data'!$C$53)/20*('Baseline NFPC'!P$10-2033)</f>
        <v>2.6897855000000002</v>
      </c>
      <c r="Q37" s="1">
        <f>$O$37+('Input data'!$C$55-'Input data'!$C$53)/20*('Baseline NFPC'!Q$10-2033)</f>
        <v>2.6534810000000002</v>
      </c>
      <c r="R37" s="1">
        <f>$O$37+('Input data'!$C$55-'Input data'!$C$53)/20*('Baseline NFPC'!R$10-2033)</f>
        <v>2.6171765000000002</v>
      </c>
      <c r="S37" s="1">
        <f>$O$37+('Input data'!$C$55-'Input data'!$C$53)/20*('Baseline NFPC'!S$10-2033)</f>
        <v>2.5808720000000003</v>
      </c>
      <c r="T37" s="1">
        <f>$O$37+('Input data'!$C$55-'Input data'!$C$53)/20*('Baseline NFPC'!T$10-2033)</f>
        <v>2.5445675000000003</v>
      </c>
      <c r="U37" s="1">
        <f>$O$37+('Input data'!$C$55-'Input data'!$C$53)/20*('Baseline NFPC'!U$10-2033)</f>
        <v>2.5082629999999999</v>
      </c>
      <c r="V37" s="1">
        <f>$O$37+('Input data'!$C$55-'Input data'!$C$53)/20*('Baseline NFPC'!V$10-2033)</f>
        <v>2.4719584999999999</v>
      </c>
      <c r="W37" s="1">
        <f>$O$37+('Input data'!$C$55-'Input data'!$C$53)/20*('Baseline NFPC'!W$10-2033)</f>
        <v>2.435654</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68</v>
      </c>
      <c r="C38" s="1">
        <v>1E-3</v>
      </c>
      <c r="D38" s="1">
        <v>7.0175440000000006E-2</v>
      </c>
      <c r="E38" s="1">
        <v>0.12698413</v>
      </c>
      <c r="F38" s="1">
        <v>1E-3</v>
      </c>
      <c r="G38" s="1">
        <f>IF(OR($C$3="EL",$C$3="CY",$C$3="IE",$C$3="PT"),VLOOKUP($C$3,$B$110:$T$114,MATCH(G$10,$B$110:$T$110,0),0),$F$38+('Input data'!$C$59-$F$38)/($O$10-$F$10)*(G10-$F$10))</f>
        <v>8.824633333333335E-3</v>
      </c>
      <c r="H38" s="1">
        <f>IF(OR($C$3="EL",$C$3="CY",$C$3="IE",$C$3="PT"),VLOOKUP($C$3,$B$110:$T$114,MATCH(H$10,$B$110:$T$110,0),0),$F$38+('Input data'!$C$59-$F$38)/($O$10-$F$10)*(H10-$F$10))</f>
        <v>1.6649266666666669E-2</v>
      </c>
      <c r="I38" s="1">
        <f>IF(OR($C$3="EL",$C$3="CY",$C$3="IE",$C$3="PT"),VLOOKUP($C$3,$B$110:$T$114,MATCH(I$10,$B$110:$T$110,0),0),$F$38+('Input data'!$C$59-$F$38)/($O$10-$F$10)*(I10-$F$10))</f>
        <v>2.4473900000000003E-2</v>
      </c>
      <c r="J38" s="1">
        <f>IF(OR($C$3="EL",$C$3="CY",$C$3="IE",$C$3="PT"),VLOOKUP($C$3,$B$110:$T$114,MATCH(J$10,$B$110:$T$110,0),0),$F$38+('Input data'!$C$59-$F$38)/($O$10-$F$10)*(J10-$F$10))</f>
        <v>3.2298533333333337E-2</v>
      </c>
      <c r="K38" s="1">
        <f>IF(OR($C$3="EL",$C$3="CY",$C$3="IE",$C$3="PT"),VLOOKUP($C$3,$B$110:$T$114,MATCH(K$10,$B$110:$T$110,0),0),$F$38+('Input data'!$C$59-$F$38)/($O$10-$F$10)*(K10-$F$10))</f>
        <v>4.0123166666666668E-2</v>
      </c>
      <c r="L38" s="1">
        <f>IF(OR($C$3="EL",$C$3="CY",$C$3="IE",$C$3="PT"),VLOOKUP($C$3,$B$110:$T$114,MATCH(L$10,$B$110:$T$110,0),0),$F$38+('Input data'!$C$59-$F$38)/($O$10-$F$10)*(L10-$F$10))</f>
        <v>4.7947800000000006E-2</v>
      </c>
      <c r="M38" s="1">
        <f>IF(OR($C$3="EL",$C$3="CY",$C$3="IE",$C$3="PT"),VLOOKUP($C$3,$B$110:$T$114,MATCH(M$10,$B$110:$T$110,0),0),$F$38+('Input data'!$C$59-$F$38)/($O$10-$F$10)*(M10-$F$10))</f>
        <v>5.5772433333333343E-2</v>
      </c>
      <c r="N38" s="1">
        <f>IF(OR($C$3="EL",$C$3="CY",$C$3="IE",$C$3="PT"),VLOOKUP($C$3,$B$110:$T$114,MATCH(N$10,$B$110:$T$110,0),0),$F$38+('Input data'!$C$59-$F$38)/($O$10-$F$10)*(N10-$F$10))</f>
        <v>6.3597066666666674E-2</v>
      </c>
      <c r="O38" s="172">
        <f>IF(OR($C$3="EL",$C$3="CY",$C$3="IE",$C$3="PT"),VLOOKUP($C$3,$B$110:$T$114,MATCH(O$10,$B$110:$T$110,0),0),'Input data'!$C$59)</f>
        <v>7.1421700000000005E-2</v>
      </c>
      <c r="P38" s="1">
        <f>IF(OR($C$3="EL",$C$3="CY",$C$3="IE",$C$3="PT"),VLOOKUP($C$3,$B$110:$T$114,MATCH(P$10,$B$110:$T$110,0),0),'Input data'!$C$59)</f>
        <v>7.1421700000000005E-2</v>
      </c>
      <c r="Q38" s="1">
        <f>IF(OR($C$3="EL",$C$3="CY",$C$3="IE",$C$3="PT"),VLOOKUP($C$3,$B$110:$T$114,MATCH(Q$10,$B$110:$T$110,0),0),'Input data'!$C$59)</f>
        <v>7.1421700000000005E-2</v>
      </c>
      <c r="R38" s="1">
        <f>IF(OR($C$3="EL",$C$3="CY",$C$3="IE",$C$3="PT"),VLOOKUP($C$3,$B$110:$T$114,MATCH(R$10,$B$110:$T$110,0),0),'Input data'!$C$59)</f>
        <v>7.1421700000000005E-2</v>
      </c>
      <c r="S38" s="1">
        <f>IF(OR($C$3="EL",$C$3="CY",$C$3="IE",$C$3="PT"),VLOOKUP($C$3,$B$110:$T$114,MATCH(S$10,$B$110:$T$110,0),0),'Input data'!$C$59)</f>
        <v>7.1421700000000005E-2</v>
      </c>
      <c r="T38" s="1">
        <f>IF(OR($C$3="EL",$C$3="CY",$C$3="IE",$C$3="PT"),VLOOKUP($C$3,$B$110:$T$114,MATCH(T$10,$B$110:$T$110,0),0),'Input data'!$C$59)</f>
        <v>7.1421700000000005E-2</v>
      </c>
      <c r="U38" s="1">
        <f>IF(OR($C$3="EL",$C$3="CY",$C$3="IE",$C$3="PT"),VLOOKUP($C$3,$B$110:$W$114,MATCH(U$10,$B$110:$W$110,0),0),'Input data'!$C$59)</f>
        <v>7.1421700000000005E-2</v>
      </c>
      <c r="V38" s="1">
        <f>IF(OR($C$3="EL",$C$3="CY",$C$3="IE",$C$3="PT"),VLOOKUP($C$3,$B$110:$W$114,MATCH(V$10,$B$110:$W$110,0),0),'Input data'!$C$59)</f>
        <v>7.1421700000000005E-2</v>
      </c>
      <c r="W38" s="1">
        <f>IF(OR($C$3="EL",$C$3="CY",$C$3="IE",$C$3="PT"),VLOOKUP($C$3,$B$110:$W$114,MATCH(W$10,$B$110:$W$110,0),0),'Input data'!$C$59)</f>
        <v>7.1421700000000005E-2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69</v>
      </c>
      <c r="C40" s="1"/>
      <c r="D40" s="1"/>
      <c r="E40" s="1"/>
      <c r="F40" s="1"/>
      <c r="G40" s="81"/>
      <c r="H40" s="81"/>
      <c r="I40" s="81"/>
      <c r="J40" s="81"/>
      <c r="K40" s="81"/>
      <c r="L40" s="81"/>
      <c r="M40" s="81"/>
      <c r="N40" s="1"/>
      <c r="O40" s="81"/>
      <c r="P40" s="81"/>
      <c r="Q40" s="8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4.6438790000000001</v>
      </c>
      <c r="D41" s="1">
        <f>'Input data'!D42</f>
        <v>5.6835380000000004</v>
      </c>
      <c r="E41" s="2">
        <f>'Input data'!E42</f>
        <v>3.4300320000000002</v>
      </c>
      <c r="F41" s="2">
        <f>'Input data'!F42</f>
        <v>3.9866290000000002</v>
      </c>
      <c r="G41" s="2">
        <f>'Input data'!G42</f>
        <v>2.5352489999999999</v>
      </c>
      <c r="H41" s="1">
        <f>$G$41+($O$41-$G$41)/($O$10-$G$10)*(H10-$G$10)</f>
        <v>2.5370928749999999</v>
      </c>
      <c r="I41" s="1">
        <f>$G$41+($O$41-$G$41)/($O$10-$G$10)*(I10-$G$10)</f>
        <v>2.53893675</v>
      </c>
      <c r="J41" s="1">
        <f t="shared" ref="J41:M41" si="12">$G$41+($O$41-$G$41)/($O$10-$G$10)*(J10-$G$10)</f>
        <v>2.540780625</v>
      </c>
      <c r="K41" s="1">
        <f t="shared" si="12"/>
        <v>2.5426244999999996</v>
      </c>
      <c r="L41" s="1">
        <f t="shared" si="12"/>
        <v>2.5444683749999997</v>
      </c>
      <c r="M41" s="1">
        <f t="shared" si="12"/>
        <v>2.5463122499999997</v>
      </c>
      <c r="N41" s="1">
        <f>$G$41+($O$41-$G$41)/($O$10-$G$10)*(N10-$G$10)</f>
        <v>2.5481561249999998</v>
      </c>
      <c r="O41" s="172">
        <f>'Input data'!$C$61</f>
        <v>2.5499999999999998</v>
      </c>
      <c r="P41" s="1">
        <f>$O$41+('Input data'!$C$62-'Input data'!$C$61)/20*(P$10-2033)</f>
        <v>2.5225</v>
      </c>
      <c r="Q41" s="1">
        <f>$O$41+('Input data'!$C$62-'Input data'!$C$61)/20*(Q$10-2033)</f>
        <v>2.4949999999999997</v>
      </c>
      <c r="R41" s="1">
        <f>$O$41+('Input data'!$C$62-'Input data'!$C$61)/20*(R$10-2033)</f>
        <v>2.4674999999999998</v>
      </c>
      <c r="S41" s="1">
        <f>$O$41+('Input data'!$C$62-'Input data'!$C$61)/20*(S$10-2033)</f>
        <v>2.44</v>
      </c>
      <c r="T41" s="1">
        <f>$O$41+('Input data'!$C$62-'Input data'!$C$61)/20*(T$10-2033)</f>
        <v>2.4124999999999996</v>
      </c>
      <c r="U41" s="1">
        <f>$O$41+('Input data'!$C$62-'Input data'!$C$61)/20*(U$10-2033)</f>
        <v>2.3849999999999998</v>
      </c>
      <c r="V41" s="1">
        <f>$O$41+('Input data'!$C$62-'Input data'!$C$61)/20*(V$10-2033)</f>
        <v>2.3574999999999999</v>
      </c>
      <c r="W41" s="1">
        <f>$O$41+('Input data'!$C$62-'Input data'!$C$61)/20*(W$10-2033)</f>
        <v>2.33</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70</v>
      </c>
      <c r="C42" s="1">
        <v>0.99999990000000005</v>
      </c>
      <c r="D42" s="1">
        <v>1</v>
      </c>
      <c r="E42" s="1">
        <v>1</v>
      </c>
      <c r="F42" s="1">
        <v>0.99999990000000005</v>
      </c>
      <c r="G42" s="1">
        <v>1</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71</v>
      </c>
      <c r="C44" s="61"/>
    </row>
    <row r="45" spans="2:51" x14ac:dyDescent="0.2">
      <c r="C45" s="25"/>
    </row>
    <row r="46" spans="2:51" x14ac:dyDescent="0.2">
      <c r="B46" s="39" t="s">
        <v>46</v>
      </c>
      <c r="C46" s="40">
        <f>'Input data'!C49</f>
        <v>0.75</v>
      </c>
    </row>
    <row r="47" spans="2:51" x14ac:dyDescent="0.2">
      <c r="B47" s="41" t="s">
        <v>190</v>
      </c>
      <c r="C47" s="42">
        <f>'Input data'!C50</f>
        <v>0.46200000000000002</v>
      </c>
    </row>
    <row r="48" spans="2:51" x14ac:dyDescent="0.2">
      <c r="C48" s="43"/>
    </row>
    <row r="49" spans="2:48" outlineLevel="1" x14ac:dyDescent="0.2">
      <c r="B49" s="15" t="s">
        <v>72</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IF(AND(ABS((G12-F12)-('Input data'!G13-'Input data'!F13))&gt;0.0001,ABS(G12-F12)&gt;0.0001,G$10&gt;$C$5),4,IF(F49=4,3,IF(F49=3,2,IF(F49=2,1,0))))</f>
        <v>0</v>
      </c>
      <c r="H49" s="23">
        <f>IF(AND(ABS((H12-G12)-('Input data'!H13-'Input data'!G13))&gt;0.0001,ABS(H12-G12)&gt;0.0001,H$10&gt;$C$5),4,IF(G49=4,3,IF(G49=3,2,IF(G49=2,1,0))))</f>
        <v>0</v>
      </c>
      <c r="I49" s="23">
        <f>IF(AND(ABS((I12-H12)-('Input data'!I13-'Input data'!H13))&gt;0.0001,ABS(I12-H12)&gt;0.0001,I$10&gt;$C$5),4,IF(H49=4,3,IF(H49=3,2,IF(H49=2,1,0))))</f>
        <v>0</v>
      </c>
      <c r="J49" s="23">
        <f>IF(AND(ABS((J12-I12)-('Input data'!J13-'Input data'!I13))&gt;0.0001,ABS(J12-I12)&gt;0.0001,J$10&gt;$C$5),4,IF(I49=4,3,IF(I49=3,2,IF(I49=2,1,0))))</f>
        <v>0</v>
      </c>
      <c r="K49" s="23">
        <f>IF(AND(ABS((K12-J12)-('Input data'!K13-'Input data'!J13))&gt;0.0001,ABS(K12-J12)&gt;0.0001,K$10&gt;$C$5),4,IF(J49=4,3,IF(J49=3,2,IF(J49=2,1,0))))</f>
        <v>0</v>
      </c>
      <c r="L49" s="23">
        <f>IF(AND(ABS((L12-K12)-('Input data'!L13-'Input data'!K13))&gt;0.0001,ABS(L12-K12)&gt;0.0001,L$10&gt;$C$5),4,IF(K49=4,3,IF(K49=3,2,IF(K49=2,1,0))))</f>
        <v>0</v>
      </c>
      <c r="M49" s="23">
        <f>IF(AND(ABS((M12-L12)-('Input data'!M13-'Input data'!L13))&gt;0.0001,ABS(M12-L12)&gt;0.0001,M$10&gt;$C$5),4,IF(L49=4,3,IF(L49=3,2,IF(L49=2,1,0))))</f>
        <v>0</v>
      </c>
      <c r="N49" s="23">
        <f>IF(AND(ABS((N12-M12)-('Input data'!N13-'Input data'!M13))&gt;0.0001,ABS(N12-M12)&gt;0.0001,N$10&gt;$C$5),4,IF(M49=4,3,IF(M49=3,2,IF(M49=2,1,0))))</f>
        <v>0</v>
      </c>
      <c r="O49" s="23">
        <f>IF(AND(ABS((O12-N12)-('Input data'!O13-'Input data'!N13))&gt;0.0001,ABS(O12-N12)&gt;0.0001,O$10&gt;$C$5),4,IF(N49=4,3,IF(N49=3,2,IF(N49=2,1,0))))</f>
        <v>0</v>
      </c>
      <c r="P49" s="23">
        <f>IF(AND(ABS((P12-O12)-('Input data'!P13-'Input data'!O13))&gt;0.0001,ABS(P12-O12)&gt;0.0001,P$10&gt;$C$5),4,IF(O49=4,3,IF(O49=3,2,IF(O49=2,1,0))))</f>
        <v>0</v>
      </c>
      <c r="Q49" s="23">
        <f>IF(AND(ABS((Q12-P12)-('Input data'!Q13-'Input data'!P13))&gt;0.0001,ABS(Q12-P12)&gt;0.0001,Q$10&gt;$C$5),4,IF(P49=4,3,IF(P49=3,2,IF(P49=2,1,0))))</f>
        <v>0</v>
      </c>
      <c r="R49" s="23">
        <f>IF(AND(ABS((R12-Q12)-('Input data'!R13-'Input data'!Q13))&gt;0.0001,ABS(R12-Q12)&gt;0.0001,R$10&gt;$C$5),4,IF(Q49=4,3,IF(Q49=3,2,IF(Q49=2,1,0))))</f>
        <v>0</v>
      </c>
      <c r="S49" s="23">
        <f>IF(AND(ABS((S12-R12)-('Input data'!S13-'Input data'!R13))&gt;0.0001,ABS(S12-R12)&gt;0.0001,S$10&gt;$C$5),4,IF(R49=4,3,IF(R49=3,2,IF(R49=2,1,0))))</f>
        <v>0</v>
      </c>
      <c r="T49" s="23">
        <f>IF(AND(ABS((T12-S12)-('Input data'!T13-'Input data'!S13))&gt;0.0001,ABS(T12-S12)&gt;0.0001,T$10&gt;$C$5),4,IF(S49=4,3,IF(S49=3,2,IF(S49=2,1,0))))</f>
        <v>0</v>
      </c>
      <c r="U49" s="23">
        <f>IF(AND(ABS((U12-T12)-('Input data'!U13-'Input data'!T13))&gt;0.0001,ABS(U12-T12)&gt;0.0001,U$10&gt;$C$5),4,IF(T49=4,3,IF(T49=3,2,IF(T49=2,1,0))))</f>
        <v>0</v>
      </c>
      <c r="V49" s="23">
        <f>IF(AND(ABS((V12-U12)-('Input data'!V13-'Input data'!U13))&gt;0.0001,ABS(V12-U12)&gt;0.0001,V$10&gt;$C$5),4,IF(U49=4,3,IF(U49=3,2,IF(U49=2,1,0))))</f>
        <v>0</v>
      </c>
      <c r="W49" s="23">
        <f>IF(AND(ABS((W12-V12)-('Input data'!W13-'Input data'!V13))&gt;0.0001,ABS(W12-V12)&gt;0.0001,W$10&gt;$C$5),4,IF(V49=4,3,IF(V49=3,2,IF(V49=2,1,0))))</f>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73</v>
      </c>
      <c r="C50" s="23"/>
      <c r="D50" s="23">
        <f t="shared" ref="D50:W50" si="13">IF(C49=4,2/3*C29,IF(C49=3,1/3*B29,0))</f>
        <v>0</v>
      </c>
      <c r="E50" s="23">
        <f t="shared" si="13"/>
        <v>0</v>
      </c>
      <c r="F50" s="23">
        <f t="shared" si="13"/>
        <v>0</v>
      </c>
      <c r="G50" s="23">
        <f t="shared" si="13"/>
        <v>0</v>
      </c>
      <c r="H50" s="23">
        <f t="shared" si="13"/>
        <v>0</v>
      </c>
      <c r="I50" s="23">
        <f t="shared" si="13"/>
        <v>0</v>
      </c>
      <c r="J50" s="23">
        <f t="shared" si="13"/>
        <v>0</v>
      </c>
      <c r="K50" s="23">
        <f t="shared" si="13"/>
        <v>0</v>
      </c>
      <c r="L50" s="23">
        <f t="shared" si="13"/>
        <v>0</v>
      </c>
      <c r="M50" s="23">
        <f t="shared" si="13"/>
        <v>0</v>
      </c>
      <c r="N50" s="23">
        <f t="shared" si="13"/>
        <v>0</v>
      </c>
      <c r="O50" s="23">
        <f t="shared" si="13"/>
        <v>0</v>
      </c>
      <c r="P50" s="23">
        <f t="shared" si="13"/>
        <v>0</v>
      </c>
      <c r="Q50" s="23">
        <f t="shared" si="13"/>
        <v>0</v>
      </c>
      <c r="R50" s="23">
        <f t="shared" si="13"/>
        <v>0</v>
      </c>
      <c r="S50" s="23">
        <f t="shared" si="13"/>
        <v>0</v>
      </c>
      <c r="T50" s="23">
        <f t="shared" si="13"/>
        <v>0</v>
      </c>
      <c r="U50" s="23">
        <f t="shared" si="13"/>
        <v>0</v>
      </c>
      <c r="V50" s="23">
        <f t="shared" si="13"/>
        <v>0</v>
      </c>
      <c r="W50" s="23">
        <f t="shared" si="13"/>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74</v>
      </c>
      <c r="C51" s="23"/>
      <c r="D51" s="23">
        <f>'Input data'!D30-$C$46*((D12-C12)-('Input data'!D13-'Input data'!C13))</f>
        <v>1.3801950000000001</v>
      </c>
      <c r="E51" s="23">
        <f>'Input data'!E30-$C$46*((E12-D12)-('Input data'!E13-'Input data'!D13))</f>
        <v>-1.0957300000000001</v>
      </c>
      <c r="F51" s="23">
        <f>'Input data'!F30-$C$46*((F12-E12)-('Input data'!F13-'Input data'!E13))</f>
        <v>1.437554</v>
      </c>
      <c r="G51" s="23">
        <f>'Input data'!G30-$C$46*((G12-F12)-('Input data'!G13-'Input data'!F13))</f>
        <v>1.9120126749999999</v>
      </c>
      <c r="H51" s="23">
        <f>'Input data'!H30-$C$46*((H12-G12))</f>
        <v>2.8606310000000001</v>
      </c>
      <c r="I51" s="23">
        <f>'Input data'!I30-$C$46*((I12-H12))</f>
        <v>3.2225980000000001</v>
      </c>
      <c r="J51" s="23">
        <f>'Input data'!J30-$C$46*((J12-I12))</f>
        <v>2.5983830000000001</v>
      </c>
      <c r="K51" s="23">
        <f>'Input data'!K30-$C$46*((K12-J12))</f>
        <v>1.8680810000000001</v>
      </c>
      <c r="L51" s="23">
        <f>'Input data'!L30-$C$46*((L12-K12))</f>
        <v>1.8073859999999999</v>
      </c>
      <c r="M51" s="23">
        <f>'Input data'!M30-$C$46*((M12-L12))</f>
        <v>1.7339500000000001</v>
      </c>
      <c r="N51" s="23">
        <f>'Input data'!N30-$C$46*((N12-M12))</f>
        <v>1.659332</v>
      </c>
      <c r="O51" s="23">
        <f>'Input data'!O30-$C$46*((O12-N12))</f>
        <v>1.655875</v>
      </c>
      <c r="P51" s="23">
        <f>'Input data'!P30-$C$46*((P12-O12))</f>
        <v>1.7004269999999999</v>
      </c>
      <c r="Q51" s="23">
        <f>'Input data'!Q30-$C$46*((Q12-P12))</f>
        <v>1.744982</v>
      </c>
      <c r="R51" s="23">
        <f>'Input data'!R30-$C$46*((R12-Q12))</f>
        <v>1.789541</v>
      </c>
      <c r="S51" s="23">
        <f>'Input data'!S30-$C$46*((S12-R12))</f>
        <v>1.875759</v>
      </c>
      <c r="T51" s="23">
        <f>'Input data'!T30-$C$46*((T12-S12))</f>
        <v>1.991495</v>
      </c>
      <c r="U51" s="23">
        <f>'Input data'!U30-$C$46*((U12-T12))</f>
        <v>2.1287349999999998</v>
      </c>
      <c r="V51" s="23">
        <f>'Input data'!V30-$C$46*((V12-U12))</f>
        <v>2.2491660000000002</v>
      </c>
      <c r="W51" s="23">
        <f>'Input data'!W30-$C$46*((W12-V12))</f>
        <v>2.2265519999999999</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75</v>
      </c>
      <c r="C53" s="58"/>
      <c r="E53" s="59"/>
      <c r="F53" s="58"/>
    </row>
    <row r="54" spans="2:48" outlineLevel="1" x14ac:dyDescent="0.2">
      <c r="B54" s="30"/>
      <c r="C54" s="18"/>
      <c r="E54" s="31"/>
      <c r="F54" s="18"/>
    </row>
    <row r="55" spans="2:48" outlineLevel="1" x14ac:dyDescent="0.2">
      <c r="B55" s="66"/>
      <c r="C55" s="67">
        <v>2021</v>
      </c>
      <c r="D55" s="67">
        <v>2022</v>
      </c>
      <c r="E55" s="67">
        <v>2023</v>
      </c>
      <c r="F55" s="67">
        <v>2024</v>
      </c>
      <c r="G55" s="67">
        <v>2025</v>
      </c>
      <c r="H55" s="67">
        <v>2026</v>
      </c>
      <c r="I55" s="67">
        <v>2027</v>
      </c>
      <c r="J55" s="67">
        <v>2028</v>
      </c>
      <c r="K55" s="67">
        <v>2029</v>
      </c>
      <c r="L55" s="67">
        <v>2030</v>
      </c>
      <c r="M55" s="67">
        <v>2031</v>
      </c>
      <c r="N55" s="67">
        <v>2032</v>
      </c>
      <c r="O55" s="67">
        <v>2033</v>
      </c>
      <c r="P55" s="67">
        <v>2034</v>
      </c>
      <c r="Q55" s="67">
        <v>2035</v>
      </c>
      <c r="R55" s="67">
        <v>2036</v>
      </c>
      <c r="S55" s="67">
        <v>2037</v>
      </c>
      <c r="T55" s="67">
        <v>2038</v>
      </c>
      <c r="U55" s="67">
        <v>2039</v>
      </c>
      <c r="V55" s="67">
        <v>2040</v>
      </c>
      <c r="W55" s="67">
        <v>2041</v>
      </c>
    </row>
    <row r="56" spans="2:48" ht="10.5" customHeight="1" outlineLevel="1" x14ac:dyDescent="0.2">
      <c r="B56" s="68" t="s">
        <v>76</v>
      </c>
      <c r="C56" s="32">
        <f>+'Input data'!C12</f>
        <v>24.503830000000001</v>
      </c>
      <c r="D56" s="32">
        <f>+C56+D57</f>
        <v>24.733491557672103</v>
      </c>
      <c r="E56" s="32">
        <f t="shared" ref="E56:T56" si="14">+D56+E57</f>
        <v>25.669613830669952</v>
      </c>
      <c r="F56" s="32">
        <f>+E56+F57</f>
        <v>27.071291453606207</v>
      </c>
      <c r="G56" s="32">
        <f>+F56+G57</f>
        <v>28.549965353557539</v>
      </c>
      <c r="H56" s="32">
        <f t="shared" si="14"/>
        <v>29.214866161820957</v>
      </c>
      <c r="I56" s="32">
        <f t="shared" si="14"/>
        <v>29.090557040818247</v>
      </c>
      <c r="J56" s="32">
        <f t="shared" si="14"/>
        <v>28.843880263645335</v>
      </c>
      <c r="K56" s="32">
        <f t="shared" si="14"/>
        <v>28.840123264841822</v>
      </c>
      <c r="L56" s="32">
        <f t="shared" si="14"/>
        <v>28.898099928521535</v>
      </c>
      <c r="M56" s="32">
        <f t="shared" si="14"/>
        <v>29.01952295047035</v>
      </c>
      <c r="N56" s="32">
        <f t="shared" si="14"/>
        <v>29.213335431419932</v>
      </c>
      <c r="O56" s="32">
        <f t="shared" si="14"/>
        <v>29.448898264047305</v>
      </c>
      <c r="P56" s="32">
        <f t="shared" si="14"/>
        <v>29.71968661014656</v>
      </c>
      <c r="Q56" s="32">
        <f t="shared" si="14"/>
        <v>30.014661733113286</v>
      </c>
      <c r="R56" s="32">
        <f>+Q56+R57</f>
        <v>30.332316526425384</v>
      </c>
      <c r="S56" s="32">
        <f t="shared" si="14"/>
        <v>30.652370179841796</v>
      </c>
      <c r="T56" s="32">
        <f t="shared" si="14"/>
        <v>30.973340931056097</v>
      </c>
      <c r="U56" s="32">
        <f t="shared" ref="U56" si="15">+T56+U57</f>
        <v>31.280790938680987</v>
      </c>
      <c r="V56" s="32">
        <f t="shared" ref="V56" si="16">+U56+V57</f>
        <v>31.567582676847607</v>
      </c>
      <c r="W56" s="32">
        <f t="shared" ref="W56" si="17">+V56+W57</f>
        <v>31.873904903424737</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9" t="s">
        <v>77</v>
      </c>
      <c r="C57" s="33"/>
      <c r="D57" s="33">
        <f>-D58+D66+D71</f>
        <v>0.22966155767210172</v>
      </c>
      <c r="E57" s="33">
        <f t="shared" ref="E57:T57" si="18">-E58+E66+E71</f>
        <v>0.93612227299784911</v>
      </c>
      <c r="F57" s="33">
        <f>-F58+F66+F71</f>
        <v>1.4016776229362551</v>
      </c>
      <c r="G57" s="33">
        <f>-G58+G66+G71</f>
        <v>1.4786738999513331</v>
      </c>
      <c r="H57" s="33">
        <f t="shared" si="18"/>
        <v>0.66490080826341802</v>
      </c>
      <c r="I57" s="33">
        <f t="shared" si="18"/>
        <v>-0.12430912100271041</v>
      </c>
      <c r="J57" s="33">
        <f t="shared" si="18"/>
        <v>-0.24667677717291114</v>
      </c>
      <c r="K57" s="33">
        <f t="shared" si="18"/>
        <v>-3.7569988035152102E-3</v>
      </c>
      <c r="L57" s="33">
        <f t="shared" si="18"/>
        <v>5.7976663679714602E-2</v>
      </c>
      <c r="M57" s="33">
        <f t="shared" si="18"/>
        <v>0.12142302194881277</v>
      </c>
      <c r="N57" s="33">
        <f t="shared" si="18"/>
        <v>0.19381248094958051</v>
      </c>
      <c r="O57" s="33">
        <f t="shared" si="18"/>
        <v>0.23556283262737182</v>
      </c>
      <c r="P57" s="33">
        <f t="shared" si="18"/>
        <v>0.27078834609925384</v>
      </c>
      <c r="Q57" s="33">
        <f t="shared" si="18"/>
        <v>0.29497512296672418</v>
      </c>
      <c r="R57" s="33">
        <f>-R58+R66+R71</f>
        <v>0.31765479331209789</v>
      </c>
      <c r="S57" s="33">
        <f t="shared" si="18"/>
        <v>0.32005365341641179</v>
      </c>
      <c r="T57" s="33">
        <f t="shared" si="18"/>
        <v>0.32097075121429997</v>
      </c>
      <c r="U57" s="33">
        <f t="shared" ref="U57:W57" si="19">-U58+U66+U71</f>
        <v>0.30745000762489139</v>
      </c>
      <c r="V57" s="33">
        <f t="shared" si="19"/>
        <v>0.28679173816662118</v>
      </c>
      <c r="W57" s="33">
        <f t="shared" si="19"/>
        <v>0.30632222657713037</v>
      </c>
    </row>
    <row r="58" spans="2:48" outlineLevel="1" x14ac:dyDescent="0.2">
      <c r="B58" s="65" t="s">
        <v>78</v>
      </c>
      <c r="C58" s="34"/>
      <c r="D58" s="34">
        <f>D59+D60-D61-D62-D63-D64-D65</f>
        <v>-0.18872855767210173</v>
      </c>
      <c r="E58" s="34">
        <f>E59+E60-E61-E62-E63-E64-E65</f>
        <v>-0.94972017299784905</v>
      </c>
      <c r="F58" s="34">
        <f>F59+F60-F61-F62-F63-F64-F65</f>
        <v>-1.3271848229362551</v>
      </c>
      <c r="G58" s="34">
        <f t="shared" ref="G58:T58" si="20">G59+G60-G61-G62-G63-G64-G65</f>
        <v>-1.1614095999513332</v>
      </c>
      <c r="H58" s="34">
        <f t="shared" si="20"/>
        <v>-0.65033094701358918</v>
      </c>
      <c r="I58" s="34">
        <f t="shared" si="20"/>
        <v>-5.6914466592297319E-2</v>
      </c>
      <c r="J58" s="34">
        <f t="shared" si="20"/>
        <v>0.14884709120403328</v>
      </c>
      <c r="K58" s="34">
        <f t="shared" si="20"/>
        <v>2.4198235654245143E-3</v>
      </c>
      <c r="L58" s="34">
        <f t="shared" si="20"/>
        <v>-0.18436463023266753</v>
      </c>
      <c r="M58" s="34">
        <f t="shared" si="20"/>
        <v>-0.37369999260964215</v>
      </c>
      <c r="N58" s="34">
        <f t="shared" si="20"/>
        <v>-0.57312453815065012</v>
      </c>
      <c r="O58" s="34">
        <f t="shared" si="20"/>
        <v>-0.76815762920174246</v>
      </c>
      <c r="P58" s="34">
        <f t="shared" si="20"/>
        <v>-0.96481208347710046</v>
      </c>
      <c r="Q58" s="34">
        <f t="shared" si="20"/>
        <v>-1.1395279916299406</v>
      </c>
      <c r="R58" s="34">
        <f t="shared" si="20"/>
        <v>-1.3064615377523048</v>
      </c>
      <c r="S58" s="34">
        <f t="shared" si="20"/>
        <v>-1.4735668982328314</v>
      </c>
      <c r="T58" s="34">
        <f t="shared" si="20"/>
        <v>-1.6381828041906386</v>
      </c>
      <c r="U58" s="34">
        <f t="shared" ref="U58:W58" si="21">U59+U60-U61-U62-U63-U64-U65</f>
        <v>-1.7919063518204434</v>
      </c>
      <c r="V58" s="34">
        <f t="shared" si="21"/>
        <v>-1.9369785444708443</v>
      </c>
      <c r="W58" s="34">
        <f t="shared" si="21"/>
        <v>-2.0926626405961195</v>
      </c>
    </row>
    <row r="59" spans="2:48" outlineLevel="1" x14ac:dyDescent="0.2">
      <c r="B59" s="64" t="s">
        <v>79</v>
      </c>
      <c r="C59" s="1"/>
      <c r="D59" s="1">
        <f>D12</f>
        <v>-0.27810010000000002</v>
      </c>
      <c r="E59" s="1">
        <f>E12</f>
        <v>0.28953679999999998</v>
      </c>
      <c r="F59" s="1">
        <f>F12</f>
        <v>9.7703100000000001E-2</v>
      </c>
      <c r="G59" s="1">
        <f t="shared" ref="G59:W59" si="22">IF(G12="",F59,G12)</f>
        <v>9.7703100000000001E-2</v>
      </c>
      <c r="H59" s="1">
        <f>IF(H12="",G59,H12)</f>
        <v>9.7703100000000001E-2</v>
      </c>
      <c r="I59" s="1">
        <f t="shared" si="22"/>
        <v>9.7703100000000001E-2</v>
      </c>
      <c r="J59" s="1">
        <f t="shared" si="22"/>
        <v>9.7703100000000001E-2</v>
      </c>
      <c r="K59" s="1">
        <f t="shared" si="22"/>
        <v>9.7703100000000001E-2</v>
      </c>
      <c r="L59" s="1">
        <f t="shared" si="22"/>
        <v>9.7703100000000001E-2</v>
      </c>
      <c r="M59" s="1">
        <f t="shared" si="22"/>
        <v>9.7703100000000001E-2</v>
      </c>
      <c r="N59" s="1">
        <f t="shared" si="22"/>
        <v>9.7703100000000001E-2</v>
      </c>
      <c r="O59" s="1">
        <f t="shared" si="22"/>
        <v>9.7703100000000001E-2</v>
      </c>
      <c r="P59" s="1">
        <f t="shared" si="22"/>
        <v>9.7703100000000001E-2</v>
      </c>
      <c r="Q59" s="1">
        <f t="shared" si="22"/>
        <v>9.7703100000000001E-2</v>
      </c>
      <c r="R59" s="1">
        <f t="shared" si="22"/>
        <v>9.7703100000000001E-2</v>
      </c>
      <c r="S59" s="1">
        <f t="shared" si="22"/>
        <v>9.7703100000000001E-2</v>
      </c>
      <c r="T59" s="1">
        <f t="shared" si="22"/>
        <v>9.7703100000000001E-2</v>
      </c>
      <c r="U59" s="1">
        <f t="shared" si="22"/>
        <v>9.7703100000000001E-2</v>
      </c>
      <c r="V59" s="1">
        <f t="shared" si="22"/>
        <v>9.7703100000000001E-2</v>
      </c>
      <c r="W59" s="1">
        <f t="shared" si="22"/>
        <v>9.7703100000000001E-2</v>
      </c>
    </row>
    <row r="60" spans="2:48" outlineLevel="1" x14ac:dyDescent="0.2">
      <c r="B60" s="64" t="s">
        <v>80</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4" t="s">
        <v>81</v>
      </c>
      <c r="C61" s="1"/>
      <c r="D61" s="1">
        <f t="shared" ref="D61:W61" si="23">-$C$47*D29</f>
        <v>-8.937154232789829E-2</v>
      </c>
      <c r="E61" s="1">
        <f t="shared" si="23"/>
        <v>1.2392569729978491</v>
      </c>
      <c r="F61" s="1">
        <f t="shared" si="23"/>
        <v>1.424887922936255</v>
      </c>
      <c r="G61" s="1">
        <f t="shared" si="23"/>
        <v>1.3379586999513335</v>
      </c>
      <c r="H61" s="1">
        <f>-$C$47*H29</f>
        <v>0.89197604701359012</v>
      </c>
      <c r="I61" s="1">
        <f t="shared" si="23"/>
        <v>0.29732456659229989</v>
      </c>
      <c r="J61" s="1">
        <f>-$C$47*J29</f>
        <v>-9.9120403245223083E-7</v>
      </c>
      <c r="K61" s="1">
        <f t="shared" si="23"/>
        <v>1.2764345785010179E-6</v>
      </c>
      <c r="L61" s="1">
        <f t="shared" si="23"/>
        <v>1.7302326696055915E-6</v>
      </c>
      <c r="M61" s="1">
        <f t="shared" si="23"/>
        <v>3.092609641908162E-6</v>
      </c>
      <c r="N61" s="1">
        <f t="shared" si="23"/>
        <v>2.638150649469928E-6</v>
      </c>
      <c r="O61" s="1">
        <f t="shared" si="23"/>
        <v>1.7292017455927678E-6</v>
      </c>
      <c r="P61" s="1">
        <f t="shared" si="23"/>
        <v>2.1834771013251596E-6</v>
      </c>
      <c r="Q61" s="1">
        <f t="shared" si="23"/>
        <v>3.0916299435190809E-6</v>
      </c>
      <c r="R61" s="1">
        <f t="shared" si="23"/>
        <v>2.6377523031806406E-6</v>
      </c>
      <c r="S61" s="1">
        <f t="shared" si="23"/>
        <v>3.9982328348786565E-6</v>
      </c>
      <c r="T61" s="1">
        <f t="shared" si="23"/>
        <v>4.9041906383218146E-6</v>
      </c>
      <c r="U61" s="1">
        <f t="shared" si="23"/>
        <v>4.4518204428856125E-6</v>
      </c>
      <c r="V61" s="1">
        <f t="shared" si="23"/>
        <v>2.6444708461026424E-6</v>
      </c>
      <c r="W61" s="1">
        <f t="shared" si="23"/>
        <v>1.7405961205696485E-6</v>
      </c>
    </row>
    <row r="62" spans="2:48" outlineLevel="1" x14ac:dyDescent="0.2">
      <c r="B62" s="64" t="s">
        <v>82</v>
      </c>
      <c r="C62" s="1"/>
      <c r="D62" s="1">
        <f t="shared" ref="D62:W62" si="24">-D13</f>
        <v>0</v>
      </c>
      <c r="E62" s="1">
        <f t="shared" si="24"/>
        <v>0</v>
      </c>
      <c r="F62" s="1">
        <f t="shared" si="24"/>
        <v>0</v>
      </c>
      <c r="G62" s="1">
        <f t="shared" si="24"/>
        <v>0</v>
      </c>
      <c r="H62" s="1">
        <f>-H13</f>
        <v>0</v>
      </c>
      <c r="I62" s="1">
        <f t="shared" si="24"/>
        <v>0</v>
      </c>
      <c r="J62" s="1">
        <f t="shared" si="24"/>
        <v>0</v>
      </c>
      <c r="K62" s="1">
        <f t="shared" si="24"/>
        <v>0</v>
      </c>
      <c r="L62" s="1">
        <f t="shared" si="24"/>
        <v>0</v>
      </c>
      <c r="M62" s="1">
        <f t="shared" si="24"/>
        <v>0</v>
      </c>
      <c r="N62" s="1">
        <f t="shared" si="24"/>
        <v>0</v>
      </c>
      <c r="O62" s="1">
        <f t="shared" si="24"/>
        <v>0</v>
      </c>
      <c r="P62" s="1">
        <f t="shared" si="24"/>
        <v>0</v>
      </c>
      <c r="Q62" s="1">
        <f t="shared" si="24"/>
        <v>0</v>
      </c>
      <c r="R62" s="1">
        <f t="shared" si="24"/>
        <v>0</v>
      </c>
      <c r="S62" s="1">
        <f t="shared" si="24"/>
        <v>0</v>
      </c>
      <c r="T62" s="1">
        <f t="shared" si="24"/>
        <v>0</v>
      </c>
      <c r="U62" s="1">
        <f t="shared" si="24"/>
        <v>0</v>
      </c>
      <c r="V62" s="1">
        <f t="shared" si="24"/>
        <v>0</v>
      </c>
      <c r="W62" s="1">
        <f t="shared" si="24"/>
        <v>0</v>
      </c>
    </row>
    <row r="63" spans="2:48" outlineLevel="1" x14ac:dyDescent="0.2">
      <c r="B63" s="64" t="s">
        <v>83</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-8.0740000000000478E-2</v>
      </c>
      <c r="H63" s="1">
        <f>IF(H$55&lt;=$C$5,0,HLOOKUP(H$55,'Input data'!$C$9:$BB$26,12,FALSE)-HLOOKUP($C$5,'Input data'!$C$9:$BB$26,12,FALSE))</f>
        <v>-0.14773000000000103</v>
      </c>
      <c r="I63" s="1">
        <f>IF(I$55&lt;=$C$5,0,HLOOKUP(I$55,'Input data'!$C$9:$BB$26,12,FALSE)-HLOOKUP($C$5,'Input data'!$C$9:$BB$26,12,FALSE))</f>
        <v>-0.14839000000000269</v>
      </c>
      <c r="J63" s="1">
        <f>IF(J$55&lt;=$C$5,0,HLOOKUP(J$55,'Input data'!$C$9:$BB$26,12,FALSE)-HLOOKUP($C$5,'Input data'!$C$9:$BB$26,12,FALSE))</f>
        <v>-5.8720000000000994E-2</v>
      </c>
      <c r="K63" s="1">
        <f>IF(K$55&lt;=$C$5,0,HLOOKUP(K$55,'Input data'!$C$9:$BB$26,12,FALSE)-HLOOKUP($C$5,'Input data'!$C$9:$BB$26,12,FALSE))</f>
        <v>8.5809999999996833E-2</v>
      </c>
      <c r="L63" s="1">
        <f>IF(L$55&lt;=$C$5,0,HLOOKUP(L$55,'Input data'!$C$9:$BB$26,12,FALSE)-HLOOKUP($C$5,'Input data'!$C$9:$BB$26,12,FALSE))</f>
        <v>0.27069999999999794</v>
      </c>
      <c r="M63" s="1">
        <f>IF(M$55&lt;=$C$5,0,HLOOKUP(M$55,'Input data'!$C$9:$BB$26,12,FALSE)-HLOOKUP($C$5,'Input data'!$C$9:$BB$26,12,FALSE))</f>
        <v>0.45814000000000021</v>
      </c>
      <c r="N63" s="1">
        <f>IF(N$55&lt;=$C$5,0,HLOOKUP(N$55,'Input data'!$C$9:$BB$26,12,FALSE)-HLOOKUP($C$5,'Input data'!$C$9:$BB$26,12,FALSE))</f>
        <v>0.65567000000000064</v>
      </c>
      <c r="O63" s="1">
        <f>IF(O$55&lt;=$C$5,0,HLOOKUP(O$55,'Input data'!$C$9:$BB$26,12,FALSE)-HLOOKUP($C$5,'Input data'!$C$9:$BB$26,12,FALSE))</f>
        <v>0.84880999999999673</v>
      </c>
      <c r="P63" s="1">
        <f>IF(P$55&lt;=$C$5,0,HLOOKUP(P$55,'Input data'!$C$9:$BB$26,12,FALSE)-HLOOKUP($C$5,'Input data'!$C$9:$BB$26,12,FALSE))</f>
        <v>1.043569999999999</v>
      </c>
      <c r="Q63" s="1">
        <f>IF(Q$55&lt;=$C$5,0,HLOOKUP(Q$55,'Input data'!$C$9:$BB$26,12,FALSE)-HLOOKUP($C$5,'Input data'!$C$9:$BB$26,12,FALSE))</f>
        <v>1.216389999999997</v>
      </c>
      <c r="R63" s="1">
        <f>IF(R$55&lt;=$C$5,0,HLOOKUP(R$55,'Input data'!$C$9:$BB$26,12,FALSE)-HLOOKUP($C$5,'Input data'!$C$9:$BB$26,12,FALSE))</f>
        <v>1.3814300000000017</v>
      </c>
      <c r="S63" s="1">
        <f>IF(S$55&lt;=$C$5,0,HLOOKUP(S$55,'Input data'!$C$9:$BB$26,12,FALSE)-HLOOKUP($C$5,'Input data'!$C$9:$BB$26,12,FALSE))</f>
        <v>1.5466399999999965</v>
      </c>
      <c r="T63" s="1">
        <f>IF(T$55&lt;=$C$5,0,HLOOKUP(T$55,'Input data'!$C$9:$BB$26,12,FALSE)-HLOOKUP($C$5,'Input data'!$C$9:$BB$26,12,FALSE))</f>
        <v>1.7093600000000002</v>
      </c>
      <c r="U63" s="1">
        <f>IF(U$55&lt;=$C$5,0,HLOOKUP(U$55,'Input data'!$C$9:$BB$26,12,FALSE)-HLOOKUP($C$5,'Input data'!$C$9:$BB$26,12,FALSE))</f>
        <v>1.8611900000000006</v>
      </c>
      <c r="V63" s="1">
        <f>IF(V$55&lt;=$C$5,0,HLOOKUP(V$55,'Input data'!$C$9:$BB$26,12,FALSE)-HLOOKUP($C$5,'Input data'!$C$9:$BB$26,12,FALSE))</f>
        <v>2.004369999999998</v>
      </c>
      <c r="W63" s="1">
        <f>IF(W$55&lt;=$C$5,0,HLOOKUP(W$55,'Input data'!$C$9:$BB$26,12,FALSE)-HLOOKUP($C$5,'Input data'!$C$9:$BB$26,12,FALSE))</f>
        <v>2.1581599999999987</v>
      </c>
    </row>
    <row r="64" spans="2:48" outlineLevel="1" x14ac:dyDescent="0.2">
      <c r="B64" s="64" t="s">
        <v>84</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1.8940000000000623E-3</v>
      </c>
      <c r="H64" s="1">
        <f>IF(H$55&lt;=$C$5,0,-HLOOKUP(H$55,'Input data'!$C$9:$BB$26,18,FALSE)+HLOOKUP($C$5,'Input data'!$C$9:$BB$26,18,FALSE))</f>
        <v>3.7880000000001246E-3</v>
      </c>
      <c r="I64" s="1">
        <f>IF(I$55&lt;=$C$5,0,-HLOOKUP(I$55,'Input data'!$C$9:$BB$26,18,FALSE)+HLOOKUP($C$5,'Input data'!$C$9:$BB$26,18,FALSE))</f>
        <v>5.6830000000001046E-3</v>
      </c>
      <c r="J64" s="1">
        <f>IF(J$55&lt;=$C$5,0,-HLOOKUP(J$55,'Input data'!$C$9:$BB$26,18,FALSE)+HLOOKUP($C$5,'Input data'!$C$9:$BB$26,18,FALSE))</f>
        <v>7.5770000000001669E-3</v>
      </c>
      <c r="K64" s="1">
        <f>IF(K$55&lt;=$C$5,0,-HLOOKUP(K$55,'Input data'!$C$9:$BB$26,18,FALSE)+HLOOKUP($C$5,'Input data'!$C$9:$BB$26,18,FALSE))</f>
        <v>9.472000000000147E-3</v>
      </c>
      <c r="L64" s="1">
        <f>IF(L$55&lt;=$C$5,0,-HLOOKUP(L$55,'Input data'!$C$9:$BB$26,18,FALSE)+HLOOKUP($C$5,'Input data'!$C$9:$BB$26,18,FALSE))</f>
        <v>1.1365999999999987E-2</v>
      </c>
      <c r="M64" s="1">
        <f>IF(M$55&lt;=$C$5,0,-HLOOKUP(M$55,'Input data'!$C$9:$BB$26,18,FALSE)+HLOOKUP($C$5,'Input data'!$C$9:$BB$26,18,FALSE))</f>
        <v>1.326000000000005E-2</v>
      </c>
      <c r="N64" s="1">
        <f>IF(N$55&lt;=$C$5,0,-HLOOKUP(N$55,'Input data'!$C$9:$BB$26,18,FALSE)+HLOOKUP($C$5,'Input data'!$C$9:$BB$26,18,FALSE))</f>
        <v>1.515500000000003E-2</v>
      </c>
      <c r="O64" s="1">
        <f>IF(O$55&lt;=$C$5,0,-HLOOKUP(O$55,'Input data'!$C$9:$BB$26,18,FALSE)+HLOOKUP($C$5,'Input data'!$C$9:$BB$26,18,FALSE))</f>
        <v>1.7049000000000092E-2</v>
      </c>
      <c r="P64" s="1">
        <f>IF(P$55&lt;=$C$5,0,-HLOOKUP(P$55,'Input data'!$C$9:$BB$26,18,FALSE)+HLOOKUP($C$5,'Input data'!$C$9:$BB$26,18,FALSE))</f>
        <v>1.8943000000000154E-2</v>
      </c>
      <c r="Q64" s="1">
        <f>IF(Q$55&lt;=$C$5,0,-HLOOKUP(Q$55,'Input data'!$C$9:$BB$26,18,FALSE)+HLOOKUP($C$5,'Input data'!$C$9:$BB$26,18,FALSE))</f>
        <v>2.0838000000000134E-2</v>
      </c>
      <c r="R64" s="1">
        <f>IF(R$55&lt;=$C$5,0,-HLOOKUP(R$55,'Input data'!$C$9:$BB$26,18,FALSE)+HLOOKUP($C$5,'Input data'!$C$9:$BB$26,18,FALSE))</f>
        <v>2.2731999999999974E-2</v>
      </c>
      <c r="S64" s="1">
        <f>IF(S$55&lt;=$C$5,0,-HLOOKUP(S$55,'Input data'!$C$9:$BB$26,18,FALSE)+HLOOKUP($C$5,'Input data'!$C$9:$BB$26,18,FALSE))</f>
        <v>2.4626000000000037E-2</v>
      </c>
      <c r="T64" s="1">
        <f>IF(T$55&lt;=$C$5,0,-HLOOKUP(T$55,'Input data'!$C$9:$BB$26,18,FALSE)+HLOOKUP($C$5,'Input data'!$C$9:$BB$26,18,FALSE))</f>
        <v>2.6521000000000017E-2</v>
      </c>
      <c r="U64" s="1">
        <f>IF(U$55&lt;=$C$5,0,-HLOOKUP(U$55,'Input data'!$C$9:$BB$26,18,FALSE)+HLOOKUP($C$5,'Input data'!$C$9:$BB$26,18,FALSE))</f>
        <v>2.8415000000000079E-2</v>
      </c>
      <c r="V64" s="1">
        <f>IF(V$55&lt;=$C$5,0,-HLOOKUP(V$55,'Input data'!$C$9:$BB$26,18,FALSE)+HLOOKUP($C$5,'Input data'!$C$9:$BB$26,18,FALSE))</f>
        <v>3.0309000000000141E-2</v>
      </c>
      <c r="W64" s="1">
        <f>IF(W$55&lt;=$C$5,0,-HLOOKUP(W$55,'Input data'!$C$9:$BB$26,18,FALSE)+HLOOKUP($C$5,'Input data'!$C$9:$BB$26,18,FALSE))</f>
        <v>3.2204000000000121E-2</v>
      </c>
    </row>
    <row r="65" spans="2:23" outlineLevel="1" x14ac:dyDescent="0.2">
      <c r="B65" s="64" t="s">
        <v>85</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5" t="s">
        <v>86</v>
      </c>
      <c r="C66" s="34"/>
      <c r="D66" s="34">
        <f>SUM(D67:D70)</f>
        <v>-1.472472</v>
      </c>
      <c r="E66" s="34">
        <f t="shared" ref="E66:T66" si="25">SUM(E67:E70)</f>
        <v>-0.25303399999999998</v>
      </c>
      <c r="F66" s="34">
        <f t="shared" si="25"/>
        <v>-0.96220119999999998</v>
      </c>
      <c r="G66" s="34">
        <f>SUM(G67:G70)</f>
        <v>-0.74892570000000003</v>
      </c>
      <c r="H66" s="34">
        <f t="shared" si="25"/>
        <v>-0.99127013875017123</v>
      </c>
      <c r="I66" s="34">
        <f t="shared" si="25"/>
        <v>-1.0853585875950078</v>
      </c>
      <c r="J66" s="34">
        <f t="shared" si="25"/>
        <v>-0.8883816859688779</v>
      </c>
      <c r="K66" s="34">
        <f t="shared" si="25"/>
        <v>-0.65996687523809072</v>
      </c>
      <c r="L66" s="34">
        <f t="shared" si="25"/>
        <v>-0.62100046655295293</v>
      </c>
      <c r="M66" s="34">
        <f t="shared" si="25"/>
        <v>-0.57829937066082937</v>
      </c>
      <c r="N66" s="34">
        <f t="shared" si="25"/>
        <v>-0.5351784572010696</v>
      </c>
      <c r="O66" s="34">
        <f t="shared" si="25"/>
        <v>-0.51220909657437064</v>
      </c>
      <c r="P66" s="34">
        <f t="shared" si="25"/>
        <v>-0.49480663737784664</v>
      </c>
      <c r="Q66" s="34">
        <f t="shared" si="25"/>
        <v>-0.47922626866321638</v>
      </c>
      <c r="R66" s="34">
        <f t="shared" si="25"/>
        <v>-0.46518514444020687</v>
      </c>
      <c r="S66" s="34">
        <f t="shared" si="25"/>
        <v>-0.46472784481641949</v>
      </c>
      <c r="T66" s="34">
        <f t="shared" si="25"/>
        <v>-0.47422885297633854</v>
      </c>
      <c r="U66" s="34">
        <f t="shared" ref="U66:W66" si="26">SUM(U67:U70)</f>
        <v>-0.491367244195552</v>
      </c>
      <c r="V66" s="34">
        <f t="shared" si="26"/>
        <v>-0.50448780630422319</v>
      </c>
      <c r="W66" s="34">
        <f t="shared" si="26"/>
        <v>-0.47494841401898935</v>
      </c>
    </row>
    <row r="67" spans="2:23" outlineLevel="1" x14ac:dyDescent="0.2">
      <c r="B67" s="64" t="s">
        <v>87</v>
      </c>
      <c r="C67" s="23"/>
      <c r="D67" s="23">
        <f t="shared" ref="D67:W67" si="27">C56*D35/100*(1/(1+D32/100))</f>
        <v>0.16097200349142848</v>
      </c>
      <c r="E67" s="23">
        <f t="shared" si="27"/>
        <v>0.30227085528012698</v>
      </c>
      <c r="F67" s="23">
        <f t="shared" si="27"/>
        <v>0.37175611299860128</v>
      </c>
      <c r="G67" s="23">
        <f>F56*G35/100*(1/(1+G32/100))</f>
        <v>0.43438097300347256</v>
      </c>
      <c r="H67" s="23">
        <f>G56*H35/100*(1/(1+H32/100))</f>
        <v>0.48949644210131538</v>
      </c>
      <c r="I67" s="23">
        <f t="shared" si="27"/>
        <v>0.52752320142182774</v>
      </c>
      <c r="J67" s="23">
        <f t="shared" si="27"/>
        <v>0.5509168746112274</v>
      </c>
      <c r="K67" s="23">
        <f t="shared" si="27"/>
        <v>0.57106995586877984</v>
      </c>
      <c r="L67" s="23">
        <f t="shared" si="27"/>
        <v>0.59391282472985074</v>
      </c>
      <c r="M67" s="23">
        <f t="shared" si="27"/>
        <v>0.61957315005302438</v>
      </c>
      <c r="N67" s="23">
        <f t="shared" si="27"/>
        <v>0.64781035733621151</v>
      </c>
      <c r="O67" s="23">
        <f t="shared" si="27"/>
        <v>0.67823144854752671</v>
      </c>
      <c r="P67" s="23">
        <f t="shared" si="27"/>
        <v>0.71003409421565133</v>
      </c>
      <c r="Q67" s="23">
        <f t="shared" si="27"/>
        <v>0.74153087555950681</v>
      </c>
      <c r="R67" s="23">
        <f t="shared" si="27"/>
        <v>0.772566706071942</v>
      </c>
      <c r="S67" s="23">
        <f t="shared" si="27"/>
        <v>0.80293502298106756</v>
      </c>
      <c r="T67" s="23">
        <f t="shared" si="27"/>
        <v>0.83226140572515317</v>
      </c>
      <c r="U67" s="23">
        <f t="shared" si="27"/>
        <v>0.86069748670070967</v>
      </c>
      <c r="V67" s="23">
        <f t="shared" si="27"/>
        <v>0.88820494266784777</v>
      </c>
      <c r="W67" s="23">
        <f t="shared" si="27"/>
        <v>0.91573314960358254</v>
      </c>
    </row>
    <row r="68" spans="2:23" outlineLevel="1" x14ac:dyDescent="0.2">
      <c r="B68" s="64" t="s">
        <v>88</v>
      </c>
      <c r="C68" s="23"/>
      <c r="D68" s="23">
        <f t="shared" ref="D68:W68" si="28">-C56*(D23/100)*(1/(1+D32/100))</f>
        <v>-0.31565593142756088</v>
      </c>
      <c r="E68" s="23">
        <f t="shared" si="28"/>
        <v>0.26492764582387623</v>
      </c>
      <c r="F68" s="23">
        <f t="shared" si="28"/>
        <v>-0.34983820394063647</v>
      </c>
      <c r="G68" s="23">
        <f t="shared" si="28"/>
        <v>-0.51395157822552495</v>
      </c>
      <c r="H68" s="23">
        <f t="shared" si="28"/>
        <v>-0.77434989154364964</v>
      </c>
      <c r="I68" s="23">
        <f t="shared" si="28"/>
        <v>-0.88950099635829771</v>
      </c>
      <c r="J68" s="23">
        <f t="shared" si="28"/>
        <v>-0.71848559963656422</v>
      </c>
      <c r="K68" s="23">
        <f t="shared" si="28"/>
        <v>-0.51583028172299861</v>
      </c>
      <c r="L68" s="23">
        <f t="shared" si="28"/>
        <v>-0.49929417753271238</v>
      </c>
      <c r="M68" s="23">
        <f t="shared" si="28"/>
        <v>-0.48030809313768308</v>
      </c>
      <c r="N68" s="23">
        <f t="shared" si="28"/>
        <v>-0.46190051860845854</v>
      </c>
      <c r="O68" s="23">
        <f t="shared" si="28"/>
        <v>-0.46402411069848626</v>
      </c>
      <c r="P68" s="23">
        <f t="shared" si="28"/>
        <v>-0.48026958017737637</v>
      </c>
      <c r="Q68" s="23">
        <f t="shared" si="28"/>
        <v>-0.49730118937306556</v>
      </c>
      <c r="R68" s="23">
        <f t="shared" si="28"/>
        <v>-0.5149746008821976</v>
      </c>
      <c r="S68" s="23">
        <f t="shared" si="28"/>
        <v>-0.54518285682054501</v>
      </c>
      <c r="T68" s="23">
        <f t="shared" si="28"/>
        <v>-0.58442173133551278</v>
      </c>
      <c r="U68" s="23">
        <f t="shared" si="28"/>
        <v>-0.63055847391947029</v>
      </c>
      <c r="V68" s="23">
        <f t="shared" si="28"/>
        <v>-0.67223294252954913</v>
      </c>
      <c r="W68" s="23">
        <f t="shared" si="28"/>
        <v>-0.67190439527453205</v>
      </c>
    </row>
    <row r="69" spans="2:23" outlineLevel="1" x14ac:dyDescent="0.2">
      <c r="B69" s="64" t="s">
        <v>89</v>
      </c>
      <c r="C69" s="23"/>
      <c r="D69" s="23">
        <f>-C56*D41/100*(1/(1+D41/100))</f>
        <v>-1.3177875342377352</v>
      </c>
      <c r="E69" s="23">
        <f t="shared" ref="E69:T69" si="29">-D56*E41/100*(1/(1+E41/100))</f>
        <v>-0.82023243997976503</v>
      </c>
      <c r="F69" s="23">
        <f>-E56*F41/100*(1/(1+F41/100))</f>
        <v>-0.98411909204355408</v>
      </c>
      <c r="G69" s="23">
        <f>-F56*G41/100*(1/(1+G41/100))</f>
        <v>-0.6693548341260056</v>
      </c>
      <c r="H69" s="23">
        <f t="shared" si="29"/>
        <v>-0.70641668930783696</v>
      </c>
      <c r="I69" s="23">
        <f t="shared" si="29"/>
        <v>-0.72338079265853783</v>
      </c>
      <c r="J69" s="23">
        <f t="shared" si="29"/>
        <v>-0.72081296094354108</v>
      </c>
      <c r="K69" s="23">
        <f t="shared" si="29"/>
        <v>-0.71520654938387196</v>
      </c>
      <c r="L69" s="23">
        <f t="shared" si="29"/>
        <v>-0.71561911375009124</v>
      </c>
      <c r="M69" s="23">
        <f t="shared" si="29"/>
        <v>-0.71756442757617067</v>
      </c>
      <c r="N69" s="23">
        <f t="shared" si="29"/>
        <v>-0.72108829592882251</v>
      </c>
      <c r="O69" s="23">
        <f t="shared" si="29"/>
        <v>-0.72641643442341108</v>
      </c>
      <c r="P69" s="23">
        <f t="shared" si="29"/>
        <v>-0.72457115141612161</v>
      </c>
      <c r="Q69" s="23">
        <f t="shared" si="29"/>
        <v>-0.72345595484965763</v>
      </c>
      <c r="R69" s="23">
        <f t="shared" si="29"/>
        <v>-0.72277724962995127</v>
      </c>
      <c r="S69" s="23">
        <f t="shared" si="29"/>
        <v>-0.72248001097694203</v>
      </c>
      <c r="T69" s="23">
        <f t="shared" si="29"/>
        <v>-0.72206852736597893</v>
      </c>
      <c r="U69" s="23">
        <f t="shared" ref="U69" si="30">-T56*U41/100*(1/(1+U41/100))</f>
        <v>-0.72150625697679138</v>
      </c>
      <c r="V69" s="23">
        <f t="shared" ref="V69" si="31">-U56*V41/100*(1/(1+V41/100))</f>
        <v>-0.72045980644252183</v>
      </c>
      <c r="W69" s="23">
        <f t="shared" ref="W69" si="32">-V56*W41/100*(1/(1+W41/100))</f>
        <v>-0.71877716834803984</v>
      </c>
    </row>
    <row r="70" spans="2:23" outlineLevel="1" x14ac:dyDescent="0.2">
      <c r="B70" s="64" t="s">
        <v>90</v>
      </c>
      <c r="C70" s="35"/>
      <c r="D70" s="35">
        <v>-5.3782613229635956E-7</v>
      </c>
      <c r="E70" s="35">
        <v>-6.1124238226462069E-8</v>
      </c>
      <c r="F70" s="35">
        <v>-1.7014410769178312E-8</v>
      </c>
      <c r="G70" s="35">
        <v>-2.606519420300657E-7</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5" t="s">
        <v>91</v>
      </c>
      <c r="C71" s="36"/>
      <c r="D71" s="36">
        <f>'Input data'!D16</f>
        <v>1.5134049999999999</v>
      </c>
      <c r="E71" s="36">
        <f>'Input data'!E16</f>
        <v>0.23943610000000001</v>
      </c>
      <c r="F71" s="36">
        <f>'Input data'!F16</f>
        <v>1.036694</v>
      </c>
      <c r="G71" s="36">
        <f>'Input data'!G16</f>
        <v>1.06619</v>
      </c>
      <c r="H71" s="36">
        <f>'Input data'!H16</f>
        <v>1.0058400000000001</v>
      </c>
      <c r="I71" s="36">
        <f>'Input data'!I16</f>
        <v>0.90413500000000002</v>
      </c>
      <c r="J71" s="36">
        <f>'Input data'!J16</f>
        <v>0.79055200000000003</v>
      </c>
      <c r="K71" s="36">
        <f>'Input data'!K16</f>
        <v>0.65862969999999998</v>
      </c>
      <c r="L71" s="36">
        <f>'Input data'!L16</f>
        <v>0.49461250000000001</v>
      </c>
      <c r="M71" s="36">
        <f>'Input data'!M16</f>
        <v>0.32602239999999999</v>
      </c>
      <c r="N71" s="36">
        <f>'Input data'!N16</f>
        <v>0.15586639999999999</v>
      </c>
      <c r="O71" s="36">
        <f>'Input data'!O16</f>
        <v>-2.03857E-2</v>
      </c>
      <c r="P71" s="36">
        <f>'Input data'!P16</f>
        <v>-0.19921710000000001</v>
      </c>
      <c r="Q71" s="36">
        <f>'Input data'!Q16</f>
        <v>-0.3653266</v>
      </c>
      <c r="R71" s="36">
        <f>'Input data'!R16</f>
        <v>-0.52362160000000002</v>
      </c>
      <c r="S71" s="36">
        <f>'Input data'!S16</f>
        <v>-0.68878539999999999</v>
      </c>
      <c r="T71" s="36">
        <f>'Input data'!T16</f>
        <v>-0.84298320000000004</v>
      </c>
      <c r="U71" s="36">
        <f>'Input data'!U16</f>
        <v>-0.99308909999999995</v>
      </c>
      <c r="V71" s="36">
        <f>'Input data'!V16</f>
        <v>-1.145699</v>
      </c>
      <c r="W71" s="36">
        <f>'Input data'!W16</f>
        <v>-1.3113919999999999</v>
      </c>
    </row>
    <row r="72" spans="2:23" outlineLevel="1" x14ac:dyDescent="0.2">
      <c r="B72" s="64" t="s">
        <v>92</v>
      </c>
      <c r="C72" s="23"/>
      <c r="D72" s="23">
        <f t="shared" ref="D72:W72" si="33">D14</f>
        <v>1.5134049999999999</v>
      </c>
      <c r="E72" s="23">
        <f t="shared" si="33"/>
        <v>0.23943519999999999</v>
      </c>
      <c r="F72" s="23">
        <f t="shared" si="33"/>
        <v>1.0366949999999999</v>
      </c>
      <c r="G72" s="23">
        <f t="shared" si="33"/>
        <v>1.0661879999999999</v>
      </c>
      <c r="H72" s="23">
        <f>H14</f>
        <v>1.0058400000000001</v>
      </c>
      <c r="I72" s="23">
        <f t="shared" si="33"/>
        <v>0.90413500000000002</v>
      </c>
      <c r="J72" s="23">
        <f t="shared" si="33"/>
        <v>0.79055200000000003</v>
      </c>
      <c r="K72" s="23">
        <f t="shared" si="33"/>
        <v>0.65862969999999998</v>
      </c>
      <c r="L72" s="23">
        <f t="shared" si="33"/>
        <v>0.49461250000000001</v>
      </c>
      <c r="M72" s="23">
        <f t="shared" si="33"/>
        <v>0.32602239999999999</v>
      </c>
      <c r="N72" s="23">
        <f t="shared" si="33"/>
        <v>0.15586639999999999</v>
      </c>
      <c r="O72" s="23">
        <f t="shared" si="33"/>
        <v>-2.03857E-2</v>
      </c>
      <c r="P72" s="23">
        <f t="shared" si="33"/>
        <v>-0.19921710000000001</v>
      </c>
      <c r="Q72" s="23">
        <f t="shared" si="33"/>
        <v>-0.3653266</v>
      </c>
      <c r="R72" s="23">
        <f t="shared" si="33"/>
        <v>-0.52362160000000002</v>
      </c>
      <c r="S72" s="23">
        <f t="shared" si="33"/>
        <v>-0.68878539999999999</v>
      </c>
      <c r="T72" s="23">
        <f t="shared" si="33"/>
        <v>-0.84298320000000004</v>
      </c>
      <c r="U72" s="23">
        <f t="shared" si="33"/>
        <v>-0.99308909999999995</v>
      </c>
      <c r="V72" s="23">
        <f t="shared" si="33"/>
        <v>-1.145699</v>
      </c>
      <c r="W72" s="23">
        <f t="shared" si="33"/>
        <v>-1.3113919999999999</v>
      </c>
    </row>
    <row r="73" spans="2:23" outlineLevel="1" x14ac:dyDescent="0.2">
      <c r="B73" s="70" t="s">
        <v>93</v>
      </c>
      <c r="C73" s="35"/>
      <c r="D73" s="35">
        <f>+D71-D72</f>
        <v>0</v>
      </c>
      <c r="E73" s="35">
        <f t="shared" ref="E73:T73" si="34">+E71-E72</f>
        <v>9.000000000258801E-7</v>
      </c>
      <c r="F73" s="35">
        <f>+F71-F72</f>
        <v>-9.9999999991773336E-7</v>
      </c>
      <c r="G73" s="35">
        <f t="shared" si="34"/>
        <v>2.0000000000575113E-6</v>
      </c>
      <c r="H73" s="35">
        <f t="shared" si="34"/>
        <v>0</v>
      </c>
      <c r="I73" s="35">
        <f t="shared" si="34"/>
        <v>0</v>
      </c>
      <c r="J73" s="35">
        <f t="shared" si="34"/>
        <v>0</v>
      </c>
      <c r="K73" s="35">
        <f t="shared" si="34"/>
        <v>0</v>
      </c>
      <c r="L73" s="35">
        <f t="shared" si="34"/>
        <v>0</v>
      </c>
      <c r="M73" s="35">
        <f t="shared" si="34"/>
        <v>0</v>
      </c>
      <c r="N73" s="35">
        <f t="shared" si="34"/>
        <v>0</v>
      </c>
      <c r="O73" s="35">
        <f t="shared" si="34"/>
        <v>0</v>
      </c>
      <c r="P73" s="35">
        <f t="shared" si="34"/>
        <v>0</v>
      </c>
      <c r="Q73" s="35">
        <f t="shared" si="34"/>
        <v>0</v>
      </c>
      <c r="R73" s="35">
        <f t="shared" si="34"/>
        <v>0</v>
      </c>
      <c r="S73" s="35">
        <f t="shared" si="34"/>
        <v>0</v>
      </c>
      <c r="T73" s="35">
        <f t="shared" si="34"/>
        <v>0</v>
      </c>
      <c r="U73" s="35">
        <f t="shared" ref="U73:W73" si="35">+U71-U72</f>
        <v>0</v>
      </c>
      <c r="V73" s="35">
        <f t="shared" si="35"/>
        <v>0</v>
      </c>
      <c r="W73" s="35">
        <f t="shared" si="35"/>
        <v>0</v>
      </c>
    </row>
    <row r="74" spans="2:23" outlineLevel="1" x14ac:dyDescent="0.2">
      <c r="B74" s="64"/>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1" t="s">
        <v>94</v>
      </c>
    </row>
    <row r="76" spans="2:23" x14ac:dyDescent="0.2">
      <c r="B76" s="62" t="s">
        <v>19</v>
      </c>
      <c r="C76" s="62"/>
      <c r="D76" s="63">
        <f>D58-D67</f>
        <v>-0.34970056116353021</v>
      </c>
      <c r="E76" s="63">
        <f t="shared" ref="E76:T76" si="36">E58-E67</f>
        <v>-1.251991028277976</v>
      </c>
      <c r="F76" s="63">
        <f t="shared" si="36"/>
        <v>-1.6989409359348564</v>
      </c>
      <c r="G76" s="63">
        <f t="shared" si="36"/>
        <v>-1.5957905729548059</v>
      </c>
      <c r="H76" s="63">
        <f t="shared" si="36"/>
        <v>-1.1398273891149047</v>
      </c>
      <c r="I76" s="63">
        <f t="shared" si="36"/>
        <v>-0.584437668014125</v>
      </c>
      <c r="J76" s="63">
        <f t="shared" si="36"/>
        <v>-0.40206978340719413</v>
      </c>
      <c r="K76" s="63">
        <f t="shared" si="36"/>
        <v>-0.56865013230335537</v>
      </c>
      <c r="L76" s="63">
        <f t="shared" si="36"/>
        <v>-0.77827745496251821</v>
      </c>
      <c r="M76" s="63">
        <f t="shared" si="36"/>
        <v>-0.99327314266266653</v>
      </c>
      <c r="N76" s="63">
        <f t="shared" si="36"/>
        <v>-1.2209348954868617</v>
      </c>
      <c r="O76" s="63">
        <f t="shared" si="36"/>
        <v>-1.4463890777492692</v>
      </c>
      <c r="P76" s="63">
        <f t="shared" si="36"/>
        <v>-1.6748461776927517</v>
      </c>
      <c r="Q76" s="63">
        <f t="shared" si="36"/>
        <v>-1.8810588671894473</v>
      </c>
      <c r="R76" s="63">
        <f t="shared" si="36"/>
        <v>-2.0790282438242467</v>
      </c>
      <c r="S76" s="63">
        <f t="shared" si="36"/>
        <v>-2.276501921213899</v>
      </c>
      <c r="T76" s="63">
        <f t="shared" si="36"/>
        <v>-2.4704442099157919</v>
      </c>
      <c r="U76" s="63">
        <f t="shared" ref="U76:W76" si="37">U58-U67</f>
        <v>-2.652603838521153</v>
      </c>
      <c r="V76" s="63">
        <f t="shared" si="37"/>
        <v>-2.8251834871386921</v>
      </c>
      <c r="W76" s="63">
        <f t="shared" si="37"/>
        <v>-3.0083957901997023</v>
      </c>
    </row>
    <row r="77" spans="2:23" x14ac:dyDescent="0.2">
      <c r="B77" s="15" t="s">
        <v>20</v>
      </c>
      <c r="D77" s="23">
        <f>D59-D67-D63-D64-D65</f>
        <v>-0.4390721034914285</v>
      </c>
      <c r="E77" s="23">
        <f>E59-E67-E63-E64-E65</f>
        <v>-1.2734055280126999E-2</v>
      </c>
      <c r="F77" s="23">
        <f t="shared" ref="F77:W77" si="38">F59-F67-F63-F64-F65</f>
        <v>-0.2740530129986013</v>
      </c>
      <c r="G77" s="23">
        <f t="shared" si="38"/>
        <v>-0.25783187300347216</v>
      </c>
      <c r="H77" s="23">
        <f t="shared" si="38"/>
        <v>-0.24785134210131449</v>
      </c>
      <c r="I77" s="23">
        <f t="shared" si="38"/>
        <v>-0.28711310142182517</v>
      </c>
      <c r="J77" s="23">
        <f t="shared" si="38"/>
        <v>-0.40207077461122659</v>
      </c>
      <c r="K77" s="23">
        <f t="shared" si="38"/>
        <v>-0.56864885586877678</v>
      </c>
      <c r="L77" s="23">
        <f t="shared" si="38"/>
        <v>-0.77827572472984863</v>
      </c>
      <c r="M77" s="23">
        <f t="shared" si="38"/>
        <v>-0.9932700500530246</v>
      </c>
      <c r="N77" s="23">
        <f t="shared" si="38"/>
        <v>-1.2209322573362122</v>
      </c>
      <c r="O77" s="23">
        <f t="shared" si="38"/>
        <v>-1.4463873485475234</v>
      </c>
      <c r="P77" s="23">
        <f t="shared" si="38"/>
        <v>-1.6748439942156503</v>
      </c>
      <c r="Q77" s="23">
        <f t="shared" si="38"/>
        <v>-1.8810557755595039</v>
      </c>
      <c r="R77" s="23">
        <f t="shared" si="38"/>
        <v>-2.0790256060719439</v>
      </c>
      <c r="S77" s="23">
        <f t="shared" si="38"/>
        <v>-2.276497922981064</v>
      </c>
      <c r="T77" s="23">
        <f t="shared" si="38"/>
        <v>-2.4704393057251535</v>
      </c>
      <c r="U77" s="23">
        <f t="shared" si="38"/>
        <v>-2.65259938670071</v>
      </c>
      <c r="V77" s="23">
        <f t="shared" si="38"/>
        <v>-2.8251808426678462</v>
      </c>
      <c r="W77" s="23">
        <f t="shared" si="38"/>
        <v>-3.0083940496035813</v>
      </c>
    </row>
    <row r="78" spans="2:23" x14ac:dyDescent="0.2">
      <c r="B78" s="24" t="s">
        <v>95</v>
      </c>
      <c r="C78" s="24"/>
      <c r="D78" s="229">
        <f>'Input data'!D45</f>
        <v>11.704064728333291</v>
      </c>
      <c r="E78" s="229">
        <f>'Input data'!E45</f>
        <v>13.053490335238813</v>
      </c>
      <c r="F78" s="229">
        <f>'Input data'!F45</f>
        <v>6.8349944328923353</v>
      </c>
      <c r="G78" s="35">
        <f>'Input data'!G33+G41-(G$12-F$12)/'Input data'!$C$64*100</f>
        <v>4.3229220000000002</v>
      </c>
      <c r="H78" s="35">
        <f>'Input data'!H33+H41-(H$12-G$12)/'Input data'!$C$64*100</f>
        <v>4.3852308749999995</v>
      </c>
      <c r="I78" s="35">
        <f>'Input data'!I33+I41-(I$12-H$12)/'Input data'!$C$64*100</f>
        <v>4.4243257499999995</v>
      </c>
      <c r="J78" s="35">
        <f>'Input data'!J33+J41-(J$12-I$12)/'Input data'!$C$64*100</f>
        <v>4.4788796250000003</v>
      </c>
      <c r="K78" s="35">
        <f>'Input data'!K33+K41-(K$12-J$12)/'Input data'!$C$64*100</f>
        <v>4.4107104999999995</v>
      </c>
      <c r="L78" s="35">
        <f>'Input data'!L33+L41-(L$12-K$12)/'Input data'!$C$64*100</f>
        <v>4.3518553749999995</v>
      </c>
      <c r="M78" s="35">
        <f>'Input data'!M33+M41-(M$12-L$12)/'Input data'!$C$64*100</f>
        <v>4.2802652499999994</v>
      </c>
      <c r="N78" s="35">
        <f>'Input data'!N33+N41-(N$12-M$12)/'Input data'!$C$64*100</f>
        <v>4.2074871250000001</v>
      </c>
      <c r="O78" s="35">
        <f>'Input data'!O33+O41-(O$12-N$12)/'Input data'!$C$64*100</f>
        <v>4.2058729999999995</v>
      </c>
      <c r="P78" s="35">
        <f>'Input data'!P33+P41-(P$12-O$12)/'Input data'!$C$64*100</f>
        <v>4.2229279999999996</v>
      </c>
      <c r="Q78" s="35">
        <f>'Input data'!Q33+Q41-(Q$12-P$12)/'Input data'!$C$64*100</f>
        <v>4.2399839999999998</v>
      </c>
      <c r="R78" s="35">
        <f>'Input data'!R33+R41-(R$12-Q$12)/'Input data'!$C$64*100</f>
        <v>4.2570399999999999</v>
      </c>
      <c r="S78" s="35">
        <f>'Input data'!S33+S41-(S$12-R$12)/'Input data'!$C$64*100</f>
        <v>4.3157619999999994</v>
      </c>
      <c r="T78" s="35">
        <f>'Input data'!T33+T41-(T$12-S$12)/'Input data'!$C$64*100</f>
        <v>4.4039969999999995</v>
      </c>
      <c r="U78" s="35">
        <f>'Input data'!U33+U41-(U$12-T$12)/'Input data'!$C$64*100</f>
        <v>4.5137339999999995</v>
      </c>
      <c r="V78" s="35">
        <f>'Input data'!V33+V41-(V$12-U$12)/'Input data'!$C$64*100</f>
        <v>4.606662</v>
      </c>
      <c r="W78" s="35">
        <f>'Input data'!W33+W41-(W$12-V$12)/'Input data'!$C$64*100</f>
        <v>4.5565499999999997</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2" customFormat="1" ht="12.75" outlineLevel="1" x14ac:dyDescent="0.2">
      <c r="B81" s="73" t="s">
        <v>96</v>
      </c>
      <c r="C81" s="74"/>
      <c r="E81" s="75"/>
      <c r="F81" s="74"/>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97</v>
      </c>
      <c r="D83" s="18">
        <f t="shared" ref="D83:W83" si="39">IF((D87-C87*D42/((1+D23/100)*(1+D41/100)))&gt;0,1,0)</f>
        <v>1</v>
      </c>
      <c r="E83" s="18">
        <f t="shared" si="39"/>
        <v>1</v>
      </c>
      <c r="F83" s="18">
        <f t="shared" si="39"/>
        <v>1</v>
      </c>
      <c r="G83" s="18">
        <f t="shared" si="39"/>
        <v>1</v>
      </c>
      <c r="H83" s="18">
        <f t="shared" si="39"/>
        <v>1</v>
      </c>
      <c r="I83" s="18">
        <f t="shared" si="39"/>
        <v>1</v>
      </c>
      <c r="J83" s="18">
        <f t="shared" si="39"/>
        <v>1</v>
      </c>
      <c r="K83" s="18">
        <f t="shared" si="39"/>
        <v>1</v>
      </c>
      <c r="L83" s="18">
        <f t="shared" si="39"/>
        <v>1</v>
      </c>
      <c r="M83" s="18">
        <f t="shared" si="39"/>
        <v>1</v>
      </c>
      <c r="N83" s="18">
        <f t="shared" si="39"/>
        <v>1</v>
      </c>
      <c r="O83" s="18">
        <f t="shared" si="39"/>
        <v>1</v>
      </c>
      <c r="P83" s="18">
        <f t="shared" si="39"/>
        <v>1</v>
      </c>
      <c r="Q83" s="18">
        <f t="shared" si="39"/>
        <v>1</v>
      </c>
      <c r="R83" s="18">
        <f t="shared" si="39"/>
        <v>1</v>
      </c>
      <c r="S83" s="18">
        <f t="shared" si="39"/>
        <v>1</v>
      </c>
      <c r="T83" s="18">
        <f t="shared" si="39"/>
        <v>1</v>
      </c>
      <c r="U83" s="18">
        <f t="shared" si="39"/>
        <v>1</v>
      </c>
      <c r="V83" s="18">
        <f t="shared" si="39"/>
        <v>1</v>
      </c>
      <c r="W83" s="18">
        <f t="shared" si="39"/>
        <v>1</v>
      </c>
    </row>
    <row r="84" spans="2:23" x14ac:dyDescent="0.2">
      <c r="B84" s="15" t="s">
        <v>98</v>
      </c>
      <c r="D84" s="18">
        <f t="shared" ref="D84:W84" si="40">IF(AND(D83=0,ABS(D87-C87*D42/((1+D23/100)*(1+D41/100)))&lt;((C93*C87*D42/((1+D23/100)*(1+D41/100))+(D38*C87*C94*D42/((1+D23/100)*(1+D41/100)))))),1,0)</f>
        <v>0</v>
      </c>
      <c r="E84" s="18">
        <f t="shared" si="40"/>
        <v>0</v>
      </c>
      <c r="F84" s="18">
        <f t="shared" si="40"/>
        <v>0</v>
      </c>
      <c r="G84" s="18">
        <f t="shared" si="40"/>
        <v>0</v>
      </c>
      <c r="H84" s="18">
        <f t="shared" si="40"/>
        <v>0</v>
      </c>
      <c r="I84" s="18">
        <f t="shared" si="40"/>
        <v>0</v>
      </c>
      <c r="J84" s="18">
        <f t="shared" si="40"/>
        <v>0</v>
      </c>
      <c r="K84" s="18">
        <f t="shared" si="40"/>
        <v>0</v>
      </c>
      <c r="L84" s="18">
        <f t="shared" si="40"/>
        <v>0</v>
      </c>
      <c r="M84" s="18">
        <f t="shared" si="40"/>
        <v>0</v>
      </c>
      <c r="N84" s="18">
        <f t="shared" si="40"/>
        <v>0</v>
      </c>
      <c r="O84" s="18">
        <f t="shared" si="40"/>
        <v>0</v>
      </c>
      <c r="P84" s="18">
        <f t="shared" si="40"/>
        <v>0</v>
      </c>
      <c r="Q84" s="18">
        <f t="shared" si="40"/>
        <v>0</v>
      </c>
      <c r="R84" s="18">
        <f t="shared" si="40"/>
        <v>0</v>
      </c>
      <c r="S84" s="18">
        <f t="shared" si="40"/>
        <v>0</v>
      </c>
      <c r="T84" s="18">
        <f t="shared" si="40"/>
        <v>0</v>
      </c>
      <c r="U84" s="18">
        <f t="shared" si="40"/>
        <v>0</v>
      </c>
      <c r="V84" s="18">
        <f t="shared" si="40"/>
        <v>0</v>
      </c>
      <c r="W84" s="18">
        <f t="shared" si="40"/>
        <v>0</v>
      </c>
    </row>
    <row r="86" spans="2:23" x14ac:dyDescent="0.2">
      <c r="B86" s="37"/>
      <c r="C86" s="67">
        <v>2021</v>
      </c>
      <c r="D86" s="67">
        <v>2022</v>
      </c>
      <c r="E86" s="67">
        <v>2023</v>
      </c>
      <c r="F86" s="67">
        <v>2024</v>
      </c>
      <c r="G86" s="67">
        <v>2025</v>
      </c>
      <c r="H86" s="67">
        <v>2026</v>
      </c>
      <c r="I86" s="67">
        <v>2027</v>
      </c>
      <c r="J86" s="67">
        <v>2028</v>
      </c>
      <c r="K86" s="67">
        <v>2029</v>
      </c>
      <c r="L86" s="67">
        <v>2030</v>
      </c>
      <c r="M86" s="67">
        <v>2031</v>
      </c>
      <c r="N86" s="67">
        <v>2032</v>
      </c>
      <c r="O86" s="67">
        <v>2033</v>
      </c>
      <c r="P86" s="67">
        <v>2034</v>
      </c>
      <c r="Q86" s="67">
        <v>2035</v>
      </c>
      <c r="R86" s="67">
        <v>2036</v>
      </c>
      <c r="S86" s="67">
        <v>2037</v>
      </c>
      <c r="T86" s="67">
        <v>2038</v>
      </c>
      <c r="U86" s="67">
        <v>2039</v>
      </c>
      <c r="V86" s="67">
        <v>2040</v>
      </c>
      <c r="W86" s="67">
        <v>2041</v>
      </c>
    </row>
    <row r="87" spans="2:23" x14ac:dyDescent="0.2">
      <c r="B87" s="84" t="s">
        <v>76</v>
      </c>
      <c r="C87" s="88">
        <f>C56</f>
        <v>24.503830000000001</v>
      </c>
      <c r="D87" s="88">
        <f>D56</f>
        <v>24.733491557672103</v>
      </c>
      <c r="E87" s="88">
        <f>E56</f>
        <v>25.669613830669952</v>
      </c>
      <c r="F87" s="88">
        <f>F56</f>
        <v>27.071291453606207</v>
      </c>
      <c r="G87" s="88">
        <f>G56</f>
        <v>28.549965353557539</v>
      </c>
      <c r="H87" s="88">
        <f t="shared" ref="H87:W87" si="41">G87*(1+H101/100)*H42-H59-H60+H61+H62+H63+H64+H65+H71</f>
        <v>29.214866161820957</v>
      </c>
      <c r="I87" s="88">
        <f t="shared" si="41"/>
        <v>29.090557040818243</v>
      </c>
      <c r="J87" s="88">
        <f t="shared" si="41"/>
        <v>28.843880263645332</v>
      </c>
      <c r="K87" s="88">
        <f t="shared" si="41"/>
        <v>28.840123264841811</v>
      </c>
      <c r="L87" s="88">
        <f t="shared" si="41"/>
        <v>28.898099928521525</v>
      </c>
      <c r="M87" s="88">
        <f t="shared" si="41"/>
        <v>29.019522950470339</v>
      </c>
      <c r="N87" s="88">
        <f t="shared" si="41"/>
        <v>29.213335431419921</v>
      </c>
      <c r="O87" s="88">
        <f t="shared" si="41"/>
        <v>29.44889826404729</v>
      </c>
      <c r="P87" s="88">
        <f t="shared" si="41"/>
        <v>29.719686610146539</v>
      </c>
      <c r="Q87" s="88">
        <f t="shared" si="41"/>
        <v>30.014661733113261</v>
      </c>
      <c r="R87" s="88">
        <f t="shared" si="41"/>
        <v>30.332316526425359</v>
      </c>
      <c r="S87" s="88">
        <f t="shared" si="41"/>
        <v>30.652370179841768</v>
      </c>
      <c r="T87" s="88">
        <f t="shared" si="41"/>
        <v>30.973340931056075</v>
      </c>
      <c r="U87" s="88">
        <f t="shared" si="41"/>
        <v>31.280790938680965</v>
      </c>
      <c r="V87" s="88">
        <f t="shared" si="41"/>
        <v>31.567582676847586</v>
      </c>
      <c r="W87" s="88">
        <f t="shared" si="41"/>
        <v>31.873904903424705</v>
      </c>
    </row>
    <row r="88" spans="2:23" x14ac:dyDescent="0.2">
      <c r="B88" s="15" t="s">
        <v>99</v>
      </c>
      <c r="C88" s="23"/>
      <c r="D88" s="174">
        <f>'Input data'!C66*$D$87</f>
        <v>20.74465291918969</v>
      </c>
      <c r="E88" s="23">
        <f t="shared" ref="E88:W88" si="42">IF(E87=0,0,IF(E83=1,D87*E42/((1+E23/100)*(1+E41/100))-E89-E90,IF(AND(E83=0,E84=1),(1-D93-E38*D94)*D87*E42/((1+E23/100)*(1+E41/100)),E87)))</f>
        <v>20.591005930685132</v>
      </c>
      <c r="F88" s="23">
        <f t="shared" si="42"/>
        <v>23.718267809310912</v>
      </c>
      <c r="G88" s="23">
        <f t="shared" si="42"/>
        <v>25.037631618686525</v>
      </c>
      <c r="H88" s="23">
        <f t="shared" si="42"/>
        <v>25.976846521439104</v>
      </c>
      <c r="I88" s="23">
        <f t="shared" si="42"/>
        <v>26.279873048252398</v>
      </c>
      <c r="J88" s="23">
        <f t="shared" si="42"/>
        <v>26.117231718520213</v>
      </c>
      <c r="K88" s="23">
        <f t="shared" si="42"/>
        <v>25.87128558914981</v>
      </c>
      <c r="L88" s="23">
        <f t="shared" si="42"/>
        <v>25.673079851114391</v>
      </c>
      <c r="M88" s="23">
        <f t="shared" si="42"/>
        <v>25.532403772091715</v>
      </c>
      <c r="N88" s="23">
        <f t="shared" si="42"/>
        <v>25.44658005939543</v>
      </c>
      <c r="O88" s="23">
        <f t="shared" si="42"/>
        <v>25.40403007708062</v>
      </c>
      <c r="P88" s="23">
        <f t="shared" si="42"/>
        <v>25.605655033031422</v>
      </c>
      <c r="Q88" s="23">
        <f t="shared" si="42"/>
        <v>25.837831697191199</v>
      </c>
      <c r="R88" s="23">
        <f t="shared" si="42"/>
        <v>26.09094232851761</v>
      </c>
      <c r="S88" s="23">
        <f t="shared" si="42"/>
        <v>26.352887045323147</v>
      </c>
      <c r="T88" s="23">
        <f t="shared" si="42"/>
        <v>26.608898518555005</v>
      </c>
      <c r="U88" s="23">
        <f t="shared" si="42"/>
        <v>26.859603757691449</v>
      </c>
      <c r="V88" s="23">
        <f t="shared" si="42"/>
        <v>27.102508796069081</v>
      </c>
      <c r="W88" s="23">
        <f t="shared" si="42"/>
        <v>27.365315175099077</v>
      </c>
    </row>
    <row r="89" spans="2:23" x14ac:dyDescent="0.2">
      <c r="B89" s="83" t="s">
        <v>100</v>
      </c>
      <c r="C89" s="23"/>
      <c r="D89" s="174">
        <f>'Input data'!C67*$D$87</f>
        <v>1.5656344655991252</v>
      </c>
      <c r="E89" s="23">
        <f t="shared" ref="E89:W89" si="43">IF(E87=0,0,IF(E83=1,E38*D87*D94*E42/((1+E23/100)*(1+E41/100)),IF(AND(E83=0,E84=1),(E38*D87*D94*E42/((1+E23/100)*(1+E41/100)))*(1-ABS(E87-D87*E42/((1+E23/100)*(1+E41/100)))/((E38*D87*D94*E42/((1+E23/100)*(1+E41/100)))+(D93*D87*E42/((1+E23/100)*(1+E41/100))))),0)))</f>
        <v>2.9950554895787773</v>
      </c>
      <c r="F89" s="23">
        <f t="shared" si="43"/>
        <v>2.3742009819130046E-2</v>
      </c>
      <c r="G89" s="23">
        <f t="shared" si="43"/>
        <v>0.22291506225889368</v>
      </c>
      <c r="H89" s="23">
        <f t="shared" si="43"/>
        <v>0.43981809362001667</v>
      </c>
      <c r="I89" s="23">
        <f t="shared" si="43"/>
        <v>0.65930679352979327</v>
      </c>
      <c r="J89" s="23">
        <f t="shared" si="43"/>
        <v>0.87170300789218869</v>
      </c>
      <c r="K89" s="23">
        <f t="shared" si="43"/>
        <v>1.0814282286297385</v>
      </c>
      <c r="L89" s="23">
        <f t="shared" si="43"/>
        <v>1.2929624006806166</v>
      </c>
      <c r="M89" s="23">
        <f t="shared" si="43"/>
        <v>1.5081155618510333</v>
      </c>
      <c r="N89" s="23">
        <f t="shared" si="43"/>
        <v>1.7282387643909296</v>
      </c>
      <c r="O89" s="23">
        <f t="shared" si="43"/>
        <v>1.9539537106954032</v>
      </c>
      <c r="P89" s="23">
        <f t="shared" si="43"/>
        <v>1.9694617159077055</v>
      </c>
      <c r="Q89" s="23">
        <f t="shared" si="43"/>
        <v>1.987319609048888</v>
      </c>
      <c r="R89" s="23">
        <f t="shared" si="43"/>
        <v>2.0067876405303533</v>
      </c>
      <c r="S89" s="23">
        <f t="shared" si="43"/>
        <v>2.0269351466483294</v>
      </c>
      <c r="T89" s="23">
        <f t="shared" si="43"/>
        <v>2.0466262966975215</v>
      </c>
      <c r="U89" s="23">
        <f t="shared" si="43"/>
        <v>2.0659093171795111</v>
      </c>
      <c r="V89" s="23">
        <f t="shared" si="43"/>
        <v>2.0845923843796554</v>
      </c>
      <c r="W89" s="23">
        <f t="shared" si="43"/>
        <v>2.1048061653404715</v>
      </c>
    </row>
    <row r="90" spans="2:23" x14ac:dyDescent="0.2">
      <c r="B90" s="83" t="s">
        <v>101</v>
      </c>
      <c r="C90" s="23"/>
      <c r="D90" s="174">
        <f>'Input data'!C68*$D$87</f>
        <v>0.56009090882314594</v>
      </c>
      <c r="E90" s="23">
        <f t="shared" ref="E90:W90" si="44">IF(E87=0,0,IF(E83=1,(1-D94)*D87*E42/((1+E23/100)*(1+E41/100)),IF(AND(E83=0,E84=1),(D93*D87*E42/((1+E23/100)*(1+E41/100)))*(1-ABS(E87-D87*E42/((1+E23/100)*(1+E41/100)))/((E38*D87*D94*E42/((1+E23/100)*(1+E41/100)))+(D93*D87*E42/((1+E23/100)*(1+E41/100))))),0)))</f>
        <v>0.59212534325230182</v>
      </c>
      <c r="F90" s="23">
        <f t="shared" si="44"/>
        <v>0.59364428199006292</v>
      </c>
      <c r="G90" s="23">
        <f t="shared" si="44"/>
        <v>0.62743836030925526</v>
      </c>
      <c r="H90" s="23">
        <f t="shared" si="44"/>
        <v>0.65253415764693801</v>
      </c>
      <c r="I90" s="23">
        <f t="shared" si="44"/>
        <v>0.66280453102193004</v>
      </c>
      <c r="J90" s="23">
        <f t="shared" si="44"/>
        <v>0.66232375382573405</v>
      </c>
      <c r="K90" s="23">
        <f t="shared" si="44"/>
        <v>0.66012961475891063</v>
      </c>
      <c r="L90" s="23">
        <f t="shared" si="44"/>
        <v>0.65916772176400495</v>
      </c>
      <c r="M90" s="23">
        <f t="shared" si="44"/>
        <v>0.65970807386492369</v>
      </c>
      <c r="N90" s="23">
        <f t="shared" si="44"/>
        <v>0.6617153121467001</v>
      </c>
      <c r="O90" s="23">
        <f t="shared" si="44"/>
        <v>0.66491109852199781</v>
      </c>
      <c r="P90" s="23">
        <f t="shared" si="44"/>
        <v>0.66894078351466302</v>
      </c>
      <c r="Q90" s="23">
        <f t="shared" si="44"/>
        <v>0.67377815968372345</v>
      </c>
      <c r="R90" s="23">
        <f t="shared" si="44"/>
        <v>0.679179913553144</v>
      </c>
      <c r="S90" s="23">
        <f t="shared" si="44"/>
        <v>0.68483146665639538</v>
      </c>
      <c r="T90" s="23">
        <f t="shared" si="44"/>
        <v>0.69035510588775229</v>
      </c>
      <c r="U90" s="23">
        <f t="shared" si="44"/>
        <v>0.69576312528885564</v>
      </c>
      <c r="V90" s="23">
        <f t="shared" si="44"/>
        <v>0.70099700926016428</v>
      </c>
      <c r="W90" s="23">
        <f t="shared" si="44"/>
        <v>0.70677977278546722</v>
      </c>
    </row>
    <row r="91" spans="2:23" x14ac:dyDescent="0.2">
      <c r="B91" s="83" t="s">
        <v>102</v>
      </c>
      <c r="C91" s="23"/>
      <c r="D91" s="174">
        <f>'Input data'!C69*$D$87</f>
        <v>1.8174793796364404</v>
      </c>
      <c r="E91" s="23">
        <f>IF(E87=0,0,IF(E83=1,'Input data'!$C$58*(E87-D87*E42/((1+E23/100)*(1+E41/100))),0))</f>
        <v>1.4573674963638568</v>
      </c>
      <c r="F91" s="23">
        <f>IF(F87=0,0,IF(F83=1,'Input data'!$C$58*(F87-E87*F42/((1+F23/100)*(1+F41/100))),0))</f>
        <v>2.6731638758311114</v>
      </c>
      <c r="G91" s="23">
        <f>IF(G87=0,0,IF(G83=1,'Input data'!$C$58*(G87-F87*G42/((1+G23/100)*(1+G41/100))),0))</f>
        <v>2.601188934108833</v>
      </c>
      <c r="H91" s="23">
        <f>IF(H87=0,0,IF(H83=1,'Input data'!$C$58*(H87-G87*H42/((1+H23/100)*(1+H41/100))),0))</f>
        <v>2.0966669975164236</v>
      </c>
      <c r="I91" s="23">
        <f>IF(I87=0,0,IF(I83=1,'Input data'!$C$58*(I87-H87*I42/((1+I23/100)*(1+I41/100))),0))</f>
        <v>1.45457828285195</v>
      </c>
      <c r="J91" s="23">
        <f>IF(J87=0,0,IF(J83=1,'Input data'!$C$58*(J87-I87*J42/((1+J23/100)*(1+J41/100))),0))</f>
        <v>1.1653859990017024</v>
      </c>
      <c r="K91" s="23">
        <f>IF(K87=0,0,IF(K83=1,'Input data'!$C$58*(K87-J87*K42/((1+K23/100)*(1+K41/100))),0))</f>
        <v>1.1992525655010207</v>
      </c>
      <c r="L91" s="23">
        <f>IF(L87=0,0,IF(L83=1,'Input data'!$C$58*(L87-K87*L42/((1+L23/100)*(1+L41/100))),0))</f>
        <v>1.2438210943500319</v>
      </c>
      <c r="M91" s="23">
        <f>IF(M87=0,0,IF(M83=1,'Input data'!$C$58*(M87-L87*M42/((1+M23/100)*(1+M41/100))),0))</f>
        <v>1.2891669222844322</v>
      </c>
      <c r="N91" s="23">
        <f>IF(N87=0,0,IF(N83=1,'Input data'!$C$58*(N87-M87*N42/((1+N23/100)*(1+N41/100))),0))</f>
        <v>1.3453594219819562</v>
      </c>
      <c r="O91" s="23">
        <f>IF(O87=0,0,IF(O83=1,'Input data'!$C$58*(O87-N87*O42/((1+O23/100)*(1+O41/100))),0))</f>
        <v>1.3934378812119457</v>
      </c>
      <c r="P91" s="23">
        <f>IF(P87=0,0,IF(P83=1,'Input data'!$C$58*(P87-O87*P42/((1+P23/100)*(1+P41/100))),0))</f>
        <v>1.4419302840083863</v>
      </c>
      <c r="Q91" s="23">
        <f>IF(Q87=0,0,IF(Q83=1,'Input data'!$C$58*(Q87-P87*Q42/((1+Q23/100)*(1+Q41/100))),0))</f>
        <v>1.4811176409768703</v>
      </c>
      <c r="R91" s="23">
        <f>IF(R87=0,0,IF(R83=1,'Input data'!$C$58*(R87-Q87*R42/((1+R23/100)*(1+R41/100))),0))</f>
        <v>1.5198859778398985</v>
      </c>
      <c r="S91" s="23">
        <f>IF(S87=0,0,IF(S83=1,'Input data'!$C$58*(S87-R87*S42/((1+S23/100)*(1+S41/100))),0))</f>
        <v>1.5514579977905858</v>
      </c>
      <c r="T91" s="23">
        <f>IF(T87=0,0,IF(T83=1,'Input data'!$C$58*(T87-S87*T42/((1+T23/100)*(1+T41/100))),0))</f>
        <v>1.5902948455784487</v>
      </c>
      <c r="U91" s="23">
        <f>IF(U87=0,0,IF(U83=1,'Input data'!$C$58*(U87-T87*U42/((1+U23/100)*(1+U41/100))),0))</f>
        <v>1.6216165663890161</v>
      </c>
      <c r="V91" s="23">
        <f>IF(V87=0,0,IF(V83=1,'Input data'!$C$58*(V87-U87*V42/((1+V23/100)*(1+V41/100))),0))</f>
        <v>1.6411302678543496</v>
      </c>
      <c r="W91" s="23">
        <f>IF(W87=0,0,IF(W83=1,'Input data'!$C$58*(W87-V87*W42/((1+W23/100)*(1+W41/100))),0))</f>
        <v>1.6582494843432796</v>
      </c>
    </row>
    <row r="92" spans="2:23" x14ac:dyDescent="0.2">
      <c r="B92" s="85" t="s">
        <v>103</v>
      </c>
      <c r="C92" s="35"/>
      <c r="D92" s="175">
        <f>'Input data'!C70*$D$87</f>
        <v>4.5627084426023846E-2</v>
      </c>
      <c r="E92" s="35">
        <f>IF(E87=0,0,IF(E83=1,'Input data'!$C$57*(E87-D87*E42/((1+E23/100)*(1+E41/100))),0))</f>
        <v>3.4059570789883246E-2</v>
      </c>
      <c r="F92" s="35">
        <f>IF(F87=0,0,IF(F83=1,'Input data'!$C$57*(F87-E87*F42/((1+F23/100)*(1+F41/100))),0))</f>
        <v>6.2473476654989847E-2</v>
      </c>
      <c r="G92" s="35">
        <f>IF(G87=0,0,IF(G83=1,'Input data'!$C$57*(G87-F87*G42/((1+G23/100)*(1+G41/100))),0))</f>
        <v>6.0791378194029244E-2</v>
      </c>
      <c r="H92" s="35">
        <f>IF(H87=0,0,IF(H83=1,'Input data'!$C$57*(H87-G87*H42/((1+H23/100)*(1+H41/100))),0))</f>
        <v>4.9000391598478098E-2</v>
      </c>
      <c r="I92" s="35">
        <f>IF(I87=0,0,IF(I83=1,'Input data'!$C$57*(I87-H87*I42/((1+I23/100)*(1+I41/100))),0))</f>
        <v>3.3994385162171702E-2</v>
      </c>
      <c r="J92" s="35">
        <f>IF(J87=0,0,IF(J83=1,'Input data'!$C$57*(J87-I87*J42/((1+J23/100)*(1+J41/100))),0))</f>
        <v>2.7235784405491754E-2</v>
      </c>
      <c r="K92" s="35">
        <f>IF(K87=0,0,IF(K83=1,'Input data'!$C$57*(K87-J87*K42/((1+K23/100)*(1+K41/100))),0))</f>
        <v>2.8027266802328355E-2</v>
      </c>
      <c r="L92" s="35">
        <f>IF(L87=0,0,IF(L83=1,'Input data'!$C$57*(L87-K87*L42/((1+L23/100)*(1+L41/100))),0))</f>
        <v>2.9068860612483469E-2</v>
      </c>
      <c r="M92" s="35">
        <f>IF(M87=0,0,IF(M83=1,'Input data'!$C$57*(M87-L87*M42/((1+M23/100)*(1+M41/100))),0))</f>
        <v>3.0128620378233023E-2</v>
      </c>
      <c r="N92" s="35">
        <f>IF(N87=0,0,IF(N83=1,'Input data'!$C$57*(N87-M87*N42/((1+N23/100)*(1+N41/100))),0))</f>
        <v>3.1441873504903878E-2</v>
      </c>
      <c r="O92" s="35">
        <f>IF(O87=0,0,IF(O83=1,'Input data'!$C$57*(O87-N87*O42/((1+O23/100)*(1+O41/100))),0))</f>
        <v>3.2565496537322255E-2</v>
      </c>
      <c r="P92" s="35">
        <f>IF(P87=0,0,IF(P83=1,'Input data'!$C$57*(P87-O87*P42/((1+P23/100)*(1+P41/100))),0))</f>
        <v>3.3698793684361517E-2</v>
      </c>
      <c r="Q92" s="35">
        <f>IF(Q87=0,0,IF(Q83=1,'Input data'!$C$57*(Q87-P87*Q42/((1+Q23/100)*(1+Q41/100))),0))</f>
        <v>3.4614626212578728E-2</v>
      </c>
      <c r="R92" s="35">
        <f>IF(R87=0,0,IF(R83=1,'Input data'!$C$57*(R87-Q87*R42/((1+R23/100)*(1+R41/100))),0))</f>
        <v>3.5520665984349983E-2</v>
      </c>
      <c r="S92" s="35">
        <f>IF(S87=0,0,IF(S83=1,'Input data'!$C$57*(S87-R87*S42/((1+S23/100)*(1+S41/100))),0))</f>
        <v>3.625852342330961E-2</v>
      </c>
      <c r="T92" s="35">
        <f>IF(T87=0,0,IF(T83=1,'Input data'!$C$57*(T87-S87*T42/((1+T23/100)*(1+T41/100))),0))</f>
        <v>3.7166164337346014E-2</v>
      </c>
      <c r="U92" s="35">
        <f>IF(U87=0,0,IF(U83=1,'Input data'!$C$57*(U87-T87*U42/((1+U23/100)*(1+U41/100))),0))</f>
        <v>3.7898172132133645E-2</v>
      </c>
      <c r="V92" s="35">
        <f>IF(V87=0,0,IF(V83=1,'Input data'!$C$57*(V87-U87*V42/((1+V23/100)*(1+V41/100))),0))</f>
        <v>3.8354219284337486E-2</v>
      </c>
      <c r="W92" s="35">
        <f>IF(W87=0,0,IF(W83=1,'Input data'!$C$57*(W87-V87*W42/((1+W23/100)*(1+W41/100))),0))</f>
        <v>3.8754305856411327E-2</v>
      </c>
    </row>
    <row r="93" spans="2:23" x14ac:dyDescent="0.2">
      <c r="B93" s="15" t="s">
        <v>51</v>
      </c>
      <c r="C93" s="25"/>
      <c r="D93" s="25">
        <f>1-D94</f>
        <v>2.449006408312604E-2</v>
      </c>
      <c r="E93" s="25">
        <f>IF(E87&lt;&gt;0,(E90+E92)/(E88+E89+E90+E91+E92),0)</f>
        <v>2.4394013800629201E-2</v>
      </c>
      <c r="F93" s="25">
        <f t="shared" ref="F93" si="45">IF(F87&lt;&gt;0,(F90+F92)/(F88+F89+F90+F91+F92),0)</f>
        <v>2.4236662656803184E-2</v>
      </c>
      <c r="G93" s="25">
        <f>IF(G87&lt;&gt;0,(G90+G92)/(G88+G89+G90+G91+G92),0)</f>
        <v>2.4106149691615158E-2</v>
      </c>
      <c r="H93" s="25">
        <f>IF(H87&lt;&gt;0,(H90+H92)/(H88+H89+H90+H91+H92),0)</f>
        <v>2.4012930449847716E-2</v>
      </c>
      <c r="I93" s="25">
        <f t="shared" ref="I93:W93" si="46">IF(I87&lt;&gt;0,(I90+I92)/(I88+I89+I90+I91+I92),0)</f>
        <v>2.3952752613378713E-2</v>
      </c>
      <c r="J93" s="25">
        <f t="shared" si="46"/>
        <v>2.3906614918948438E-2</v>
      </c>
      <c r="K93" s="25">
        <f t="shared" si="46"/>
        <v>2.3861093631321328E-2</v>
      </c>
      <c r="L93" s="25">
        <f t="shared" si="46"/>
        <v>2.381598043050645E-2</v>
      </c>
      <c r="M93" s="25">
        <f>IF(M87&lt;&gt;0,(M90+M92)/(M88+M89+M90+M91+M92),0)</f>
        <v>2.3771469138915539E-2</v>
      </c>
      <c r="N93" s="25">
        <f t="shared" si="46"/>
        <v>2.3727423637702465E-2</v>
      </c>
      <c r="O93" s="25">
        <f t="shared" si="46"/>
        <v>2.3684301830429931E-2</v>
      </c>
      <c r="P93" s="25">
        <f t="shared" si="46"/>
        <v>2.3642226999767146E-2</v>
      </c>
      <c r="Q93" s="25">
        <f t="shared" si="46"/>
        <v>2.3601558204961463E-2</v>
      </c>
      <c r="R93" s="25">
        <f t="shared" si="46"/>
        <v>2.356234740313522E-2</v>
      </c>
      <c r="S93" s="25">
        <f t="shared" si="46"/>
        <v>2.3524771032353078E-2</v>
      </c>
      <c r="T93" s="25">
        <f t="shared" si="46"/>
        <v>2.3488627586042348E-2</v>
      </c>
      <c r="U93" s="25">
        <f t="shared" si="46"/>
        <v>2.345405200460465E-2</v>
      </c>
      <c r="V93" s="25">
        <f t="shared" si="46"/>
        <v>2.3421217776258791E-2</v>
      </c>
      <c r="W93" s="25">
        <f t="shared" si="46"/>
        <v>2.339010801785301E-2</v>
      </c>
    </row>
    <row r="94" spans="2:23" x14ac:dyDescent="0.2">
      <c r="B94" s="24" t="s">
        <v>52</v>
      </c>
      <c r="C94" s="86"/>
      <c r="D94" s="86">
        <f>(D88+D89+D91)/D87</f>
        <v>0.97550993591687396</v>
      </c>
      <c r="E94" s="86">
        <f t="shared" ref="E94:F94" si="47">IF(E87&lt;&gt;0,(E88+E89+E91)/(E88+E89+E90+E91+E92),1)</f>
        <v>0.97560598619937078</v>
      </c>
      <c r="F94" s="86">
        <f t="shared" si="47"/>
        <v>0.97576333734319687</v>
      </c>
      <c r="G94" s="86">
        <f>IF(G87&lt;&gt;0,(G88+G89+G91)/(G88+G89+G90+G91+G92),1)</f>
        <v>0.97589385030838482</v>
      </c>
      <c r="H94" s="86">
        <f>IF(H87&lt;&gt;0,(H88+H89+H91)/(H88+H89+H90+H91+H92),1)</f>
        <v>0.97598706955015224</v>
      </c>
      <c r="I94" s="86">
        <f t="shared" ref="I94:W94" si="48">IF(I87&lt;&gt;0,(I88+I89+I91)/(I88+I89+I90+I91+I92),1)</f>
        <v>0.9760472473866213</v>
      </c>
      <c r="J94" s="86">
        <f t="shared" si="48"/>
        <v>0.97609338508105159</v>
      </c>
      <c r="K94" s="86">
        <f t="shared" si="48"/>
        <v>0.97613890636867862</v>
      </c>
      <c r="L94" s="86">
        <f t="shared" si="48"/>
        <v>0.97618401956949363</v>
      </c>
      <c r="M94" s="86">
        <f t="shared" si="48"/>
        <v>0.97622853086108452</v>
      </c>
      <c r="N94" s="86">
        <f t="shared" si="48"/>
        <v>0.97627257636229758</v>
      </c>
      <c r="O94" s="86">
        <f t="shared" si="48"/>
        <v>0.97631569816957009</v>
      </c>
      <c r="P94" s="86">
        <f t="shared" si="48"/>
        <v>0.97635777300023285</v>
      </c>
      <c r="Q94" s="86">
        <f t="shared" si="48"/>
        <v>0.97639844179503843</v>
      </c>
      <c r="R94" s="86">
        <f t="shared" si="48"/>
        <v>0.97643765259686477</v>
      </c>
      <c r="S94" s="86">
        <f t="shared" si="48"/>
        <v>0.97647522896764694</v>
      </c>
      <c r="T94" s="86">
        <f t="shared" si="48"/>
        <v>0.97651137241395758</v>
      </c>
      <c r="U94" s="86">
        <f t="shared" si="48"/>
        <v>0.97654594799539529</v>
      </c>
      <c r="V94" s="86">
        <f t="shared" si="48"/>
        <v>0.97657878222374128</v>
      </c>
      <c r="W94" s="86">
        <f t="shared" si="48"/>
        <v>0.97660989198214698</v>
      </c>
    </row>
    <row r="95" spans="2:23" x14ac:dyDescent="0.2">
      <c r="C95" s="25"/>
      <c r="D95" s="25"/>
      <c r="E95" s="173"/>
      <c r="F95" s="173"/>
      <c r="G95" s="173"/>
      <c r="H95" s="25"/>
      <c r="I95" s="25"/>
      <c r="J95" s="25"/>
      <c r="K95" s="25"/>
      <c r="L95" s="25"/>
      <c r="M95" s="25"/>
      <c r="N95" s="25"/>
      <c r="O95" s="25"/>
      <c r="P95" s="25"/>
      <c r="Q95" s="25"/>
      <c r="R95" s="25"/>
      <c r="S95" s="25"/>
      <c r="T95" s="25"/>
      <c r="U95" s="25"/>
      <c r="V95" s="25"/>
      <c r="W95" s="25"/>
    </row>
    <row r="96" spans="2:23" x14ac:dyDescent="0.2">
      <c r="B96" s="90" t="s">
        <v>104</v>
      </c>
      <c r="C96" s="92">
        <f>C35</f>
        <v>0.72664200000000001</v>
      </c>
      <c r="D96" s="92">
        <f>D35</f>
        <v>0.70384469999999999</v>
      </c>
      <c r="E96" s="92">
        <f>E98+E99</f>
        <v>1.2501800000000001</v>
      </c>
      <c r="F96" s="92">
        <f>F98+F99</f>
        <v>1.5276190000000001</v>
      </c>
      <c r="G96" s="92">
        <f>G98+G99</f>
        <v>1.6779250000000001</v>
      </c>
      <c r="H96" s="92">
        <f>H98+H99</f>
        <v>1.8083152228165538</v>
      </c>
      <c r="I96" s="92">
        <f t="shared" ref="I96:W96" si="49">I98+I99</f>
        <v>1.9111785380966653</v>
      </c>
      <c r="J96" s="92">
        <f t="shared" si="49"/>
        <v>1.9923754103450946</v>
      </c>
      <c r="K96" s="92">
        <f t="shared" si="49"/>
        <v>2.0681316549813973</v>
      </c>
      <c r="L96" s="92">
        <f t="shared" si="49"/>
        <v>2.1498943367246941</v>
      </c>
      <c r="M96" s="92">
        <f t="shared" si="49"/>
        <v>2.2367078108477521</v>
      </c>
      <c r="N96" s="92">
        <f t="shared" si="49"/>
        <v>2.327194736861939</v>
      </c>
      <c r="O96" s="92">
        <f t="shared" si="49"/>
        <v>2.4202761752468058</v>
      </c>
      <c r="P96" s="92">
        <f t="shared" si="49"/>
        <v>2.5139238347740496</v>
      </c>
      <c r="Q96" s="92">
        <f t="shared" si="49"/>
        <v>2.6019604576591382</v>
      </c>
      <c r="R96" s="92">
        <f t="shared" si="49"/>
        <v>2.6846756973689003</v>
      </c>
      <c r="S96" s="92">
        <f t="shared" si="49"/>
        <v>2.7625824563807075</v>
      </c>
      <c r="T96" s="92">
        <f t="shared" si="49"/>
        <v>2.8360417474672666</v>
      </c>
      <c r="U96" s="92">
        <f t="shared" si="49"/>
        <v>2.9056732089620949</v>
      </c>
      <c r="V96" s="92">
        <f t="shared" si="49"/>
        <v>2.9717680162522848</v>
      </c>
      <c r="W96" s="92">
        <f t="shared" si="49"/>
        <v>3.0345499896351593</v>
      </c>
    </row>
    <row r="97" spans="2:25" x14ac:dyDescent="0.2">
      <c r="B97" s="22" t="s">
        <v>105</v>
      </c>
      <c r="C97" s="1"/>
      <c r="D97" s="23"/>
      <c r="E97" s="184">
        <f>((E35*D87)-(E37*D90+D92))/(D88+D89+D91)</f>
        <v>1.2000521165751918</v>
      </c>
      <c r="F97" s="184">
        <f>((F35*E87)-(F37*E90+E92))/(E88+E89+E91)</f>
        <v>1.4801835833897958</v>
      </c>
      <c r="G97" s="184">
        <f>((G35*F87)-(G37*F90+F92))/(F88+F89+F91)</f>
        <v>1.6539432534294258</v>
      </c>
      <c r="H97" s="23">
        <f t="shared" ref="H97:W97" si="50">IF(G87&gt;0,(G97*G88+H36*(G91+G89))/(G88+G89+G91),H36)</f>
        <v>1.7836932960427823</v>
      </c>
      <c r="I97" s="23">
        <f t="shared" si="50"/>
        <v>1.8894626583601788</v>
      </c>
      <c r="J97" s="23">
        <f t="shared" si="50"/>
        <v>1.9729848603240097</v>
      </c>
      <c r="K97" s="23">
        <f t="shared" si="50"/>
        <v>2.0509112113148813</v>
      </c>
      <c r="L97" s="23">
        <f t="shared" si="50"/>
        <v>2.1349819911140027</v>
      </c>
      <c r="M97" s="23">
        <f t="shared" si="50"/>
        <v>2.2242176728781122</v>
      </c>
      <c r="N97" s="23">
        <f t="shared" si="50"/>
        <v>2.3172067043311277</v>
      </c>
      <c r="O97" s="23">
        <f t="shared" si="50"/>
        <v>2.4128436463098333</v>
      </c>
      <c r="P97" s="23">
        <f t="shared" si="50"/>
        <v>2.5096576319797874</v>
      </c>
      <c r="Q97" s="23">
        <f t="shared" si="50"/>
        <v>2.600712902315331</v>
      </c>
      <c r="R97" s="23">
        <f t="shared" si="50"/>
        <v>2.6863072917747268</v>
      </c>
      <c r="S97" s="23">
        <f t="shared" si="50"/>
        <v>2.766967298452947</v>
      </c>
      <c r="T97" s="23">
        <f t="shared" si="50"/>
        <v>2.8430638046890806</v>
      </c>
      <c r="U97" s="23">
        <f t="shared" si="50"/>
        <v>2.9152323607148558</v>
      </c>
      <c r="V97" s="23">
        <f t="shared" si="50"/>
        <v>2.9837721195007196</v>
      </c>
      <c r="W97" s="23">
        <f t="shared" si="50"/>
        <v>3.0489132685163907</v>
      </c>
    </row>
    <row r="98" spans="2:25" x14ac:dyDescent="0.2">
      <c r="B98" s="15" t="s">
        <v>106</v>
      </c>
      <c r="C98" s="23"/>
      <c r="D98" s="23"/>
      <c r="E98" s="184">
        <f>E35</f>
        <v>1.2501800000000001</v>
      </c>
      <c r="F98" s="184">
        <f>F35</f>
        <v>1.5276190000000001</v>
      </c>
      <c r="G98" s="184">
        <f>G35</f>
        <v>1.6779250000000001</v>
      </c>
      <c r="H98" s="23">
        <f t="shared" ref="H98:W98" si="51">(H97*(G88+G89+G91)+H37*(G90+G92))/G87</f>
        <v>1.8083152228165538</v>
      </c>
      <c r="I98" s="23">
        <f t="shared" si="51"/>
        <v>1.9111785380966653</v>
      </c>
      <c r="J98" s="23">
        <f t="shared" si="51"/>
        <v>1.9923754103450946</v>
      </c>
      <c r="K98" s="23">
        <f t="shared" si="51"/>
        <v>2.0681316549813973</v>
      </c>
      <c r="L98" s="23">
        <f t="shared" si="51"/>
        <v>2.1498943367246941</v>
      </c>
      <c r="M98" s="23">
        <f t="shared" si="51"/>
        <v>2.2367078108477521</v>
      </c>
      <c r="N98" s="23">
        <f t="shared" si="51"/>
        <v>2.327194736861939</v>
      </c>
      <c r="O98" s="23">
        <f t="shared" si="51"/>
        <v>2.4202761752468058</v>
      </c>
      <c r="P98" s="23">
        <f t="shared" si="51"/>
        <v>2.5139238347740496</v>
      </c>
      <c r="Q98" s="23">
        <f t="shared" si="51"/>
        <v>2.6019604576591382</v>
      </c>
      <c r="R98" s="23">
        <f t="shared" si="51"/>
        <v>2.6846756973689003</v>
      </c>
      <c r="S98" s="23">
        <f t="shared" si="51"/>
        <v>2.7625824563807075</v>
      </c>
      <c r="T98" s="23">
        <f t="shared" si="51"/>
        <v>2.8360417474672666</v>
      </c>
      <c r="U98" s="23">
        <f t="shared" si="51"/>
        <v>2.9056732089620949</v>
      </c>
      <c r="V98" s="23">
        <f t="shared" si="51"/>
        <v>2.9717680162522848</v>
      </c>
      <c r="W98" s="23">
        <f t="shared" si="51"/>
        <v>3.0345499896351593</v>
      </c>
    </row>
    <row r="99" spans="2:25" x14ac:dyDescent="0.2">
      <c r="B99" s="24" t="s">
        <v>107</v>
      </c>
      <c r="C99" s="91"/>
      <c r="D99" s="35"/>
      <c r="E99" s="35">
        <f t="shared" ref="E99:G99" si="52">E108</f>
        <v>0</v>
      </c>
      <c r="F99" s="35">
        <f t="shared" si="52"/>
        <v>0</v>
      </c>
      <c r="G99" s="35">
        <f t="shared" si="52"/>
        <v>0</v>
      </c>
      <c r="H99" s="35">
        <f>H108</f>
        <v>0</v>
      </c>
      <c r="I99" s="35">
        <f t="shared" ref="I99:W99" si="53">I108</f>
        <v>0</v>
      </c>
      <c r="J99" s="35">
        <f t="shared" si="53"/>
        <v>0</v>
      </c>
      <c r="K99" s="35">
        <f t="shared" si="53"/>
        <v>0</v>
      </c>
      <c r="L99" s="35">
        <f t="shared" si="53"/>
        <v>0</v>
      </c>
      <c r="M99" s="35">
        <f t="shared" si="53"/>
        <v>0</v>
      </c>
      <c r="N99" s="35">
        <f t="shared" si="53"/>
        <v>0</v>
      </c>
      <c r="O99" s="35">
        <f t="shared" si="53"/>
        <v>0</v>
      </c>
      <c r="P99" s="35">
        <f t="shared" si="53"/>
        <v>0</v>
      </c>
      <c r="Q99" s="35">
        <f t="shared" si="53"/>
        <v>0</v>
      </c>
      <c r="R99" s="35">
        <f t="shared" si="53"/>
        <v>0</v>
      </c>
      <c r="S99" s="35">
        <f t="shared" si="53"/>
        <v>0</v>
      </c>
      <c r="T99" s="35">
        <f t="shared" si="53"/>
        <v>0</v>
      </c>
      <c r="U99" s="35">
        <f t="shared" si="53"/>
        <v>0</v>
      </c>
      <c r="V99" s="35">
        <f t="shared" si="53"/>
        <v>0</v>
      </c>
      <c r="W99" s="35">
        <f t="shared" si="53"/>
        <v>0</v>
      </c>
    </row>
    <row r="100" spans="2:25" x14ac:dyDescent="0.2">
      <c r="G100" s="76"/>
      <c r="H100" s="76"/>
      <c r="I100" s="76"/>
      <c r="J100" s="76"/>
      <c r="K100" s="76"/>
      <c r="L100" s="76"/>
      <c r="M100" s="76"/>
      <c r="N100" s="76"/>
      <c r="O100" s="76"/>
      <c r="P100" s="76"/>
      <c r="Q100" s="76"/>
      <c r="R100" s="76"/>
      <c r="S100" s="76"/>
      <c r="T100" s="76"/>
      <c r="U100" s="76"/>
      <c r="V100" s="76"/>
      <c r="W100" s="76"/>
    </row>
    <row r="101" spans="2:25" x14ac:dyDescent="0.2">
      <c r="B101" s="90" t="s">
        <v>135</v>
      </c>
      <c r="C101" s="92">
        <f t="shared" ref="C101:W101" si="54">((1+C96/100)/((1+C23/100)*(1+C41/100))-1)*100</f>
        <v>-10.181920895997088</v>
      </c>
      <c r="D101" s="92">
        <f t="shared" si="54"/>
        <v>-6.0091482114178358</v>
      </c>
      <c r="E101" s="92">
        <f t="shared" si="54"/>
        <v>-1.0230417257739544</v>
      </c>
      <c r="F101" s="92">
        <f t="shared" si="54"/>
        <v>-3.7484053688254471</v>
      </c>
      <c r="G101" s="92">
        <f t="shared" si="54"/>
        <v>-2.7664932078749982</v>
      </c>
      <c r="H101" s="92">
        <f t="shared" si="54"/>
        <v>-3.4720537362286197</v>
      </c>
      <c r="I101" s="92">
        <f t="shared" si="54"/>
        <v>-3.7150900558065691</v>
      </c>
      <c r="J101" s="92">
        <f t="shared" si="54"/>
        <v>-3.0538490023492959</v>
      </c>
      <c r="K101" s="92">
        <f t="shared" si="54"/>
        <v>-2.2880655071568556</v>
      </c>
      <c r="L101" s="92">
        <f t="shared" si="54"/>
        <v>-2.153251776527576</v>
      </c>
      <c r="M101" s="92">
        <f t="shared" si="54"/>
        <v>-2.0011674542313562</v>
      </c>
      <c r="N101" s="92">
        <f t="shared" si="54"/>
        <v>-1.8442014298942655</v>
      </c>
      <c r="O101" s="92">
        <f t="shared" si="54"/>
        <v>-1.753340003837689</v>
      </c>
      <c r="P101" s="92">
        <f t="shared" si="54"/>
        <v>-1.6802212189443333</v>
      </c>
      <c r="Q101" s="92">
        <f t="shared" si="54"/>
        <v>-1.6124876246158215</v>
      </c>
      <c r="R101" s="92">
        <f t="shared" si="54"/>
        <v>-1.549859693827571</v>
      </c>
      <c r="S101" s="92">
        <f t="shared" si="54"/>
        <v>-1.5321211764737885</v>
      </c>
      <c r="T101" s="92">
        <f t="shared" si="54"/>
        <v>-1.5471196850160851</v>
      </c>
      <c r="U101" s="92">
        <f t="shared" si="54"/>
        <v>-1.5864198999045453</v>
      </c>
      <c r="V101" s="92">
        <f t="shared" si="54"/>
        <v>-1.612771899831944</v>
      </c>
      <c r="W101" s="92">
        <f t="shared" si="54"/>
        <v>-1.504544769490157</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2" customFormat="1" ht="12.75" x14ac:dyDescent="0.2">
      <c r="B104" s="14" t="s">
        <v>108</v>
      </c>
    </row>
    <row r="105" spans="2:25" s="87" customFormat="1" ht="12.75" x14ac:dyDescent="0.2">
      <c r="C105" s="81"/>
      <c r="D105" s="81"/>
      <c r="E105" s="81"/>
      <c r="F105" s="81"/>
      <c r="G105" s="81"/>
      <c r="H105" s="81"/>
      <c r="I105" s="81"/>
      <c r="J105" s="81"/>
      <c r="K105" s="81"/>
      <c r="L105" s="81"/>
      <c r="M105" s="81"/>
      <c r="N105" s="81"/>
      <c r="O105" s="81"/>
      <c r="P105" s="81"/>
      <c r="Q105" s="81"/>
      <c r="R105" s="81"/>
      <c r="S105" s="81"/>
      <c r="T105" s="81"/>
      <c r="U105" s="81"/>
      <c r="V105" s="81"/>
      <c r="W105" s="81"/>
    </row>
    <row r="106" spans="2:25" x14ac:dyDescent="0.2">
      <c r="B106" s="97" t="s">
        <v>21</v>
      </c>
      <c r="C106" s="23">
        <v>24.503830000000001</v>
      </c>
      <c r="D106" s="23">
        <v>24.733499999999999</v>
      </c>
      <c r="E106" s="23">
        <v>25.669619999999998</v>
      </c>
      <c r="F106" s="23">
        <v>27.071300000000001</v>
      </c>
      <c r="G106" s="23">
        <v>28.549949999999999</v>
      </c>
      <c r="H106" s="23">
        <v>29.213819999999998</v>
      </c>
      <c r="I106" s="23">
        <v>29.088560000000001</v>
      </c>
      <c r="J106" s="23">
        <v>28.84104</v>
      </c>
      <c r="K106" s="23">
        <v>28.836500000000001</v>
      </c>
      <c r="L106" s="23">
        <v>28.89376</v>
      </c>
      <c r="M106" s="23">
        <v>29.01455</v>
      </c>
      <c r="N106" s="23">
        <v>29.20778</v>
      </c>
      <c r="O106" s="23">
        <v>29.44284</v>
      </c>
      <c r="P106" s="23">
        <v>29.713190000000001</v>
      </c>
      <c r="Q106" s="23">
        <v>30.00778</v>
      </c>
      <c r="R106" s="23">
        <v>30.325099999999999</v>
      </c>
      <c r="S106" s="23">
        <v>30.644870000000001</v>
      </c>
      <c r="T106" s="23">
        <v>30.965610000000002</v>
      </c>
      <c r="U106" s="23">
        <v>31.272880000000001</v>
      </c>
      <c r="V106" s="23">
        <v>31.55951</v>
      </c>
      <c r="W106" s="23">
        <v>31.8657</v>
      </c>
    </row>
    <row r="107" spans="2:25" x14ac:dyDescent="0.2">
      <c r="B107" s="15" t="s">
        <v>104</v>
      </c>
      <c r="C107" s="23">
        <v>0.72664200000000001</v>
      </c>
      <c r="D107" s="23">
        <v>0.70384469999999999</v>
      </c>
      <c r="E107" s="23">
        <v>1.2501800000000001</v>
      </c>
      <c r="F107" s="23">
        <v>1.5276190000000001</v>
      </c>
      <c r="G107" s="23">
        <v>1.6779250000000001</v>
      </c>
      <c r="H107" s="23">
        <v>1.8045469999999999</v>
      </c>
      <c r="I107" s="23">
        <v>1.907707</v>
      </c>
      <c r="J107" s="23">
        <v>1.9891289999999999</v>
      </c>
      <c r="K107" s="23">
        <v>2.0650909999999998</v>
      </c>
      <c r="L107" s="23">
        <v>2.1470739999999999</v>
      </c>
      <c r="M107" s="23">
        <v>2.2341199999999999</v>
      </c>
      <c r="N107" s="23">
        <v>2.3248440000000001</v>
      </c>
      <c r="O107" s="23">
        <v>2.418164</v>
      </c>
      <c r="P107" s="23">
        <v>2.5120469999999999</v>
      </c>
      <c r="Q107" s="23">
        <v>2.600295</v>
      </c>
      <c r="R107" s="23">
        <v>2.6832009999999999</v>
      </c>
      <c r="S107" s="23">
        <v>2.7612779999999999</v>
      </c>
      <c r="T107" s="23">
        <v>2.834889</v>
      </c>
      <c r="U107" s="23">
        <v>2.9046569999999998</v>
      </c>
      <c r="V107" s="23">
        <v>2.970872</v>
      </c>
      <c r="W107" s="23">
        <v>3.0337610000000002</v>
      </c>
    </row>
    <row r="108" spans="2:25" x14ac:dyDescent="0.2">
      <c r="B108" s="15" t="s">
        <v>134</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5"/>
      <c r="D109" s="95"/>
      <c r="E109" s="95"/>
      <c r="F109" s="95"/>
      <c r="G109" s="95"/>
      <c r="H109" s="95"/>
      <c r="I109" s="95"/>
      <c r="J109" s="95"/>
      <c r="K109" s="95"/>
      <c r="L109" s="95"/>
      <c r="M109" s="95"/>
      <c r="N109" s="95"/>
      <c r="O109" s="95"/>
      <c r="P109" s="95"/>
      <c r="Q109" s="95"/>
      <c r="R109" s="95"/>
      <c r="S109" s="95"/>
      <c r="T109" s="95"/>
      <c r="U109" s="95"/>
      <c r="V109" s="95"/>
      <c r="W109" s="95"/>
    </row>
    <row r="110" spans="2:25" x14ac:dyDescent="0.2">
      <c r="B110" s="15" t="s">
        <v>68</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109</v>
      </c>
      <c r="C111" s="23">
        <v>3.8019160000000003E-2</v>
      </c>
      <c r="D111" s="23">
        <v>7.8597440000000005E-2</v>
      </c>
      <c r="E111" s="23">
        <v>5.9475470000000003E-2</v>
      </c>
      <c r="F111" s="23">
        <v>9.6876959999999998E-2</v>
      </c>
      <c r="G111" s="23">
        <v>0.11684023</v>
      </c>
      <c r="H111" s="23">
        <v>0.13811532000000001</v>
      </c>
      <c r="I111" s="23">
        <v>0.13659083</v>
      </c>
      <c r="J111" s="23">
        <v>0.14219135999999999</v>
      </c>
      <c r="K111" s="23">
        <v>0.1389396</v>
      </c>
      <c r="L111" s="23">
        <v>0.12512538000000001</v>
      </c>
      <c r="M111" s="23">
        <v>0.12849179999999999</v>
      </c>
      <c r="N111" s="23">
        <v>7.2085140000000006E-2</v>
      </c>
      <c r="O111" s="23">
        <v>6.8681389999999995E-2</v>
      </c>
      <c r="P111" s="23">
        <v>6.8049499999999999E-2</v>
      </c>
      <c r="Q111" s="23">
        <v>6.8080779999999994E-2</v>
      </c>
      <c r="R111" s="23">
        <v>6.7666320000000002E-2</v>
      </c>
      <c r="S111" s="23">
        <v>6.9220519999999994E-2</v>
      </c>
      <c r="T111" s="23">
        <v>6.6629789999999994E-2</v>
      </c>
      <c r="U111" s="23">
        <v>6.6434309999999996E-2</v>
      </c>
      <c r="V111" s="23">
        <v>6.6393380000000002E-2</v>
      </c>
      <c r="W111" s="23">
        <v>6.621254E-2</v>
      </c>
      <c r="X111" s="27"/>
    </row>
    <row r="112" spans="2:25" x14ac:dyDescent="0.2">
      <c r="B112" s="15" t="s">
        <v>110</v>
      </c>
      <c r="C112" s="23">
        <v>3.0337050000000001E-2</v>
      </c>
      <c r="D112" s="23">
        <v>3.594311E-2</v>
      </c>
      <c r="E112" s="23">
        <v>4.1166179999999997E-2</v>
      </c>
      <c r="F112" s="23">
        <v>1.594102E-2</v>
      </c>
      <c r="G112" s="23">
        <v>1.5850139999999999E-2</v>
      </c>
      <c r="H112" s="23">
        <v>3.7528779999999998E-2</v>
      </c>
      <c r="I112" s="23">
        <v>3.4050280000000002E-2</v>
      </c>
      <c r="J112" s="23">
        <v>4.734439E-2</v>
      </c>
      <c r="K112" s="23">
        <v>4.4075929999999999E-2</v>
      </c>
      <c r="L112" s="23">
        <v>5.08599E-2</v>
      </c>
      <c r="M112" s="23">
        <v>6.6237939999999995E-2</v>
      </c>
      <c r="N112" s="23">
        <v>6.0253769999999998E-2</v>
      </c>
      <c r="O112" s="23">
        <v>9.0030589999999994E-2</v>
      </c>
      <c r="P112" s="23">
        <v>7.2952390000000006E-2</v>
      </c>
      <c r="Q112" s="23">
        <v>7.7366660000000004E-2</v>
      </c>
      <c r="R112" s="23">
        <v>9.0839359999999994E-2</v>
      </c>
      <c r="S112" s="23">
        <v>9.9621100000000004E-2</v>
      </c>
      <c r="T112" s="23">
        <v>0.10965455</v>
      </c>
      <c r="U112" s="23">
        <v>9.8654409999999998E-2</v>
      </c>
      <c r="V112" s="23">
        <v>0.10313576000000001</v>
      </c>
      <c r="W112" s="23">
        <v>0.11073872999999999</v>
      </c>
      <c r="X112" s="23"/>
      <c r="Y112" s="76"/>
    </row>
    <row r="113" spans="2:24" x14ac:dyDescent="0.2">
      <c r="B113" s="15" t="s">
        <v>111</v>
      </c>
      <c r="C113" s="23">
        <v>1E-3</v>
      </c>
      <c r="D113" s="23">
        <v>7.5373060000000006E-2</v>
      </c>
      <c r="E113" s="23">
        <v>4.6882050000000001E-2</v>
      </c>
      <c r="F113" s="23">
        <v>5.4216720000000003E-2</v>
      </c>
      <c r="G113" s="23">
        <v>6.7343109999999998E-2</v>
      </c>
      <c r="H113" s="23">
        <v>7.3281109999999997E-2</v>
      </c>
      <c r="I113" s="23">
        <v>6.3735609999999998E-2</v>
      </c>
      <c r="J113" s="23">
        <v>7.1999019999999997E-2</v>
      </c>
      <c r="K113" s="23">
        <v>7.7920139999999999E-2</v>
      </c>
      <c r="L113" s="23">
        <v>7.3665930000000004E-2</v>
      </c>
      <c r="M113" s="23">
        <v>9.2833230000000003E-2</v>
      </c>
      <c r="N113" s="23">
        <v>9.7499160000000001E-2</v>
      </c>
      <c r="O113" s="23">
        <v>0.10431984</v>
      </c>
      <c r="P113" s="23">
        <v>7.7692949999999997E-2</v>
      </c>
      <c r="Q113" s="23">
        <v>8.1896739999999996E-2</v>
      </c>
      <c r="R113" s="23">
        <v>7.226059E-2</v>
      </c>
      <c r="S113" s="23">
        <v>7.2475159999999997E-2</v>
      </c>
      <c r="T113" s="23">
        <v>7.2704249999999998E-2</v>
      </c>
      <c r="U113" s="23">
        <v>7.292216E-2</v>
      </c>
      <c r="V113" s="23">
        <v>7.3112590000000005E-2</v>
      </c>
      <c r="W113" s="23">
        <v>7.3435849999999997E-2</v>
      </c>
      <c r="X113" s="27"/>
    </row>
    <row r="114" spans="2:24" x14ac:dyDescent="0.2">
      <c r="B114" s="15" t="s">
        <v>112</v>
      </c>
      <c r="C114" s="23">
        <v>8.3818409999999996E-2</v>
      </c>
      <c r="D114" s="23">
        <v>6.9391629999999996E-2</v>
      </c>
      <c r="E114" s="23">
        <v>4.6492409999999998E-2</v>
      </c>
      <c r="F114" s="23">
        <v>4.9193250000000001E-2</v>
      </c>
      <c r="G114" s="23">
        <v>5.6712739999999998E-2</v>
      </c>
      <c r="H114" s="23">
        <v>6.4011879999999993E-2</v>
      </c>
      <c r="I114" s="23">
        <v>6.4931299999999997E-2</v>
      </c>
      <c r="J114" s="23">
        <v>6.3912460000000004E-2</v>
      </c>
      <c r="K114" s="23">
        <v>6.1693610000000003E-2</v>
      </c>
      <c r="L114" s="23">
        <v>5.4426040000000002E-2</v>
      </c>
      <c r="M114" s="23">
        <v>8.556656E-2</v>
      </c>
      <c r="N114" s="23">
        <v>8.1653809999999993E-2</v>
      </c>
      <c r="O114" s="23">
        <v>7.5878589999999996E-2</v>
      </c>
      <c r="P114" s="23">
        <v>6.1356269999999997E-2</v>
      </c>
      <c r="Q114" s="23">
        <v>8.1797350000000005E-2</v>
      </c>
      <c r="R114" s="23">
        <v>8.4442320000000001E-2</v>
      </c>
      <c r="S114" s="23">
        <v>6.0270190000000001E-2</v>
      </c>
      <c r="T114" s="23">
        <v>7.2970759999999996E-2</v>
      </c>
      <c r="U114" s="23">
        <v>5.7315959999999999E-2</v>
      </c>
      <c r="V114" s="23">
        <v>6.0796679999999999E-2</v>
      </c>
      <c r="W114" s="23">
        <v>5.7293660000000003E-2</v>
      </c>
      <c r="X114" s="27"/>
    </row>
    <row r="115" spans="2:24" x14ac:dyDescent="0.2">
      <c r="C115" s="27"/>
      <c r="D115" s="27"/>
      <c r="E115" s="23"/>
      <c r="F115" s="23"/>
      <c r="G115" s="27"/>
      <c r="H115" s="95"/>
      <c r="I115" s="95"/>
      <c r="J115" s="95"/>
      <c r="K115" s="95"/>
      <c r="L115" s="95"/>
      <c r="M115" s="95"/>
      <c r="N115" s="95"/>
      <c r="O115" s="95"/>
      <c r="P115" s="95"/>
      <c r="Q115" s="95"/>
      <c r="R115" s="95"/>
      <c r="S115" s="95"/>
      <c r="T115" s="95"/>
      <c r="U115" s="95"/>
      <c r="V115" s="95"/>
      <c r="W115" s="95"/>
      <c r="X115" s="27"/>
    </row>
    <row r="116" spans="2:24" x14ac:dyDescent="0.2">
      <c r="E116" s="23"/>
      <c r="F116" s="23"/>
      <c r="G116" s="98"/>
      <c r="H116" s="98"/>
      <c r="I116" s="98"/>
      <c r="J116" s="98"/>
      <c r="K116" s="98"/>
      <c r="L116" s="98"/>
      <c r="M116" s="98"/>
      <c r="N116" s="98"/>
      <c r="O116" s="98"/>
      <c r="P116" s="98"/>
      <c r="Q116" s="98"/>
      <c r="R116" s="98"/>
      <c r="S116" s="98"/>
      <c r="T116" s="98"/>
      <c r="U116" s="98"/>
      <c r="V116" s="98"/>
      <c r="W116" s="98"/>
    </row>
    <row r="117" spans="2:24" x14ac:dyDescent="0.2">
      <c r="D117" s="178"/>
      <c r="E117" s="178"/>
      <c r="F117" s="178"/>
      <c r="G117" s="178"/>
    </row>
    <row r="118" spans="2:24" x14ac:dyDescent="0.2">
      <c r="D118" s="178"/>
      <c r="E118" s="178"/>
      <c r="F118" s="178"/>
      <c r="G118" s="178"/>
      <c r="H118" s="178"/>
      <c r="I118" s="178"/>
      <c r="J118" s="178"/>
      <c r="K118" s="178"/>
      <c r="L118" s="178"/>
      <c r="M118" s="178"/>
      <c r="N118" s="178"/>
      <c r="O118" s="178"/>
      <c r="P118" s="178"/>
      <c r="Q118" s="178"/>
      <c r="R118" s="178"/>
      <c r="S118" s="178"/>
      <c r="T118" s="178"/>
      <c r="U118" s="98"/>
      <c r="V118" s="98"/>
      <c r="W118" s="98"/>
    </row>
    <row r="119" spans="2:24" x14ac:dyDescent="0.2">
      <c r="E119" s="23"/>
      <c r="F119" s="23"/>
      <c r="G119" s="98"/>
      <c r="H119" s="98"/>
      <c r="I119" s="98"/>
      <c r="J119" s="98"/>
      <c r="K119" s="98"/>
      <c r="L119" s="98"/>
      <c r="M119" s="98"/>
      <c r="N119" s="98"/>
      <c r="O119" s="98"/>
      <c r="P119" s="98"/>
      <c r="Q119" s="98"/>
      <c r="R119" s="98"/>
      <c r="S119" s="98"/>
      <c r="T119" s="98"/>
      <c r="U119" s="98"/>
      <c r="V119" s="98"/>
      <c r="W119" s="98"/>
      <c r="X119" s="98"/>
    </row>
    <row r="120" spans="2:24" x14ac:dyDescent="0.2">
      <c r="G120" s="98"/>
      <c r="H120" s="98"/>
      <c r="I120" s="98"/>
      <c r="J120" s="98"/>
      <c r="K120" s="98"/>
      <c r="L120" s="98"/>
      <c r="M120" s="98"/>
      <c r="N120" s="98"/>
      <c r="O120" s="98"/>
      <c r="P120" s="98"/>
      <c r="Q120" s="98"/>
      <c r="R120" s="98"/>
      <c r="S120" s="98"/>
      <c r="T120" s="98"/>
      <c r="U120" s="98"/>
      <c r="V120" s="98"/>
      <c r="W120" s="98"/>
      <c r="X120" s="98"/>
    </row>
    <row r="121" spans="2:24" x14ac:dyDescent="0.2">
      <c r="E121" s="23"/>
      <c r="F121" s="76"/>
      <c r="G121" s="76"/>
      <c r="H121" s="76"/>
      <c r="I121" s="76"/>
      <c r="J121" s="76"/>
      <c r="K121" s="76"/>
      <c r="L121" s="76"/>
      <c r="M121" s="76"/>
      <c r="N121" s="76"/>
      <c r="O121" s="76"/>
      <c r="P121" s="76"/>
      <c r="Q121" s="76"/>
      <c r="R121" s="76"/>
      <c r="S121" s="76"/>
      <c r="T121" s="76"/>
      <c r="U121" s="76"/>
      <c r="V121" s="76"/>
      <c r="W121" s="76"/>
      <c r="X121" s="98"/>
    </row>
    <row r="122" spans="2:24" x14ac:dyDescent="0.2">
      <c r="E122" s="23"/>
      <c r="F122" s="23"/>
      <c r="G122" s="98"/>
      <c r="H122" s="98"/>
      <c r="I122" s="98"/>
      <c r="J122" s="98"/>
      <c r="K122" s="98"/>
      <c r="L122" s="98"/>
      <c r="M122" s="98"/>
      <c r="N122" s="98"/>
      <c r="O122" s="98"/>
      <c r="P122" s="98"/>
      <c r="Q122" s="98"/>
      <c r="R122" s="98"/>
      <c r="S122" s="98"/>
      <c r="T122" s="98"/>
      <c r="U122" s="98"/>
      <c r="V122" s="98"/>
      <c r="W122" s="98"/>
      <c r="X122" s="98"/>
    </row>
    <row r="123" spans="2:24" x14ac:dyDescent="0.2">
      <c r="G123" s="98"/>
      <c r="H123" s="98"/>
      <c r="I123" s="98"/>
      <c r="J123" s="98"/>
      <c r="K123" s="98"/>
      <c r="L123" s="98"/>
      <c r="M123" s="98"/>
      <c r="N123" s="98"/>
      <c r="O123" s="98"/>
      <c r="P123" s="98"/>
      <c r="Q123" s="98"/>
      <c r="R123" s="98"/>
      <c r="S123" s="98"/>
      <c r="T123" s="98"/>
      <c r="U123" s="98"/>
      <c r="V123" s="98"/>
      <c r="W123" s="98"/>
      <c r="X123" s="98"/>
    </row>
  </sheetData>
  <conditionalFormatting sqref="U10:W43 U45:W52 U82:W103 U105:W129 U54:W80">
    <cfRule type="expression" dxfId="7"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5"/>
  <sheetViews>
    <sheetView topLeftCell="A46" zoomScaleNormal="100" workbookViewId="0">
      <selection activeCell="A84" sqref="A83:XFD92"/>
    </sheetView>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LU</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1"/>
      <c r="G11" s="181"/>
      <c r="H11" s="181"/>
      <c r="I11" s="181"/>
      <c r="J11" s="181"/>
      <c r="K11" s="181"/>
      <c r="L11" s="181"/>
      <c r="M11" s="181"/>
      <c r="N11" s="181"/>
      <c r="O11" s="181"/>
      <c r="P11" s="181"/>
      <c r="Q11" s="181"/>
      <c r="R11" s="181"/>
      <c r="S11" s="181"/>
      <c r="T11" s="181"/>
      <c r="U11" s="181"/>
      <c r="V11" s="181"/>
      <c r="W11" s="181"/>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0.32530419999999999</v>
      </c>
      <c r="D12" s="2">
        <f>'Input data'!D13</f>
        <v>-0.27810010000000002</v>
      </c>
      <c r="E12" s="2">
        <f>'Input data'!E13</f>
        <v>0.28953679999999998</v>
      </c>
      <c r="F12" s="2">
        <f>'Input data'!F13</f>
        <v>9.7703100000000001E-2</v>
      </c>
      <c r="G12" s="3">
        <f>IF(G10&lt;=$C$6,
IF(AND(F78&lt;=-1.55,'Criteria results'!$F$5=4,'Criteria results'!$F$6&lt;0.4),F12+0.4,
IF(AND(F78&lt;=-1.55,'Criteria results'!$F$5=7,'Criteria results'!$F$6&lt;0.25),F12+0.25,
F12+'Criteria results'!$F$6)),F12)</f>
        <v>9.7703100000000001E-2</v>
      </c>
      <c r="H12" s="3">
        <f>IF(H10&lt;=$C$6,
IF(AND(G78&lt;=-1.55,'Criteria results'!$F$5=4,'Criteria results'!$F$6&lt;0.4),G12+0.4,
IF(AND(G78&lt;=-1.55,'Criteria results'!$F$5=7,'Criteria results'!$F$6&lt;0.25),G12+0.25,
G12+'Criteria results'!$F$6)),G12)</f>
        <v>9.7703100000000001E-2</v>
      </c>
      <c r="I12" s="3">
        <f>IF(I10&lt;=$C$6,
IF(AND(H78&lt;=-1.55,'Criteria results'!$F$5=4,'Criteria results'!$F$6&lt;0.4),H12+0.4,
IF(AND(H78&lt;=-1.55,'Criteria results'!$F$5=7,'Criteria results'!$F$6&lt;0.25),H12+0.25,
H12+'Criteria results'!$F$6)),H12)</f>
        <v>9.7703100000000001E-2</v>
      </c>
      <c r="J12" s="3">
        <f>IF(J10&lt;=$C$6,
IF(AND(I78&lt;=-1.55,'Criteria results'!$F$5=4,'Criteria results'!$F$6&lt;0.4),I12+0.4,
IF(AND(I78&lt;=-1.55,'Criteria results'!$F$5=7,'Criteria results'!$F$6&lt;0.25),I12+0.25,
I12+'Criteria results'!$F$6)),I12)</f>
        <v>9.7703100000000001E-2</v>
      </c>
      <c r="K12" s="96">
        <f>IF(K10&lt;=$C$6,
IF(AND(J78&lt;=-1.55,'Criteria results'!$F$5=4,'Criteria results'!$F$6&lt;0.4),J12+0.4,
IF(AND(J78&lt;=-1.55,'Criteria results'!$F$5=7,'Criteria results'!$F$6&lt;0.25),J12+0.25,
J12+'Criteria results'!$F$6)),J12)</f>
        <v>9.7703100000000001E-2</v>
      </c>
      <c r="L12" s="96">
        <f>IF(L10&lt;=$C$6,
IF(AND(K78&lt;=-1.55,'Criteria results'!$F$5=4,'Criteria results'!$F$6&lt;0.4),K12+0.4,
IF(AND(K78&lt;=-1.55,'Criteria results'!$F$5=7,'Criteria results'!$F$6&lt;0.25),K12+0.25,
K12+'Criteria results'!$F$6)),K12)</f>
        <v>9.7703100000000001E-2</v>
      </c>
      <c r="M12" s="96">
        <f>IF(M10&lt;=$C$6,
IF(AND(L78&lt;=-1.55,'Criteria results'!$F$5=4,'Criteria results'!$F$6&lt;0.4),L12+0.4,
IF(AND(L78&lt;=-1.55,'Criteria results'!$F$5=7,'Criteria results'!$F$6&lt;0.25),L12+0.25,
L12+'Criteria results'!$F$6)),L12)</f>
        <v>9.7703100000000001E-2</v>
      </c>
      <c r="N12" s="96">
        <f>M12</f>
        <v>9.7703100000000001E-2</v>
      </c>
      <c r="O12" s="96">
        <f t="shared" ref="O12:W12" si="0">N12</f>
        <v>9.7703100000000001E-2</v>
      </c>
      <c r="P12" s="96">
        <f t="shared" si="0"/>
        <v>9.7703100000000001E-2</v>
      </c>
      <c r="Q12" s="96">
        <f t="shared" si="0"/>
        <v>9.7703100000000001E-2</v>
      </c>
      <c r="R12" s="96">
        <f t="shared" si="0"/>
        <v>9.7703100000000001E-2</v>
      </c>
      <c r="S12" s="96">
        <f t="shared" si="0"/>
        <v>9.7703100000000001E-2</v>
      </c>
      <c r="T12" s="96">
        <f t="shared" si="0"/>
        <v>9.7703100000000001E-2</v>
      </c>
      <c r="U12" s="96">
        <f t="shared" si="0"/>
        <v>9.7703100000000001E-2</v>
      </c>
      <c r="V12" s="96">
        <f t="shared" si="0"/>
        <v>9.7703100000000001E-2</v>
      </c>
      <c r="W12" s="96">
        <f t="shared" si="0"/>
        <v>9.7703100000000001E-2</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63" t="s">
        <v>139</v>
      </c>
      <c r="C13" s="18"/>
      <c r="D13" s="18"/>
      <c r="E13" s="18"/>
      <c r="F13" s="181"/>
      <c r="G13" s="181">
        <f>G12-F12</f>
        <v>0</v>
      </c>
      <c r="H13" s="181">
        <f t="shared" ref="H13:W13" si="1">H12-G12</f>
        <v>0</v>
      </c>
      <c r="I13" s="181">
        <f t="shared" si="1"/>
        <v>0</v>
      </c>
      <c r="J13" s="181">
        <f t="shared" si="1"/>
        <v>0</v>
      </c>
      <c r="K13" s="181">
        <f t="shared" si="1"/>
        <v>0</v>
      </c>
      <c r="L13" s="181">
        <f t="shared" si="1"/>
        <v>0</v>
      </c>
      <c r="M13" s="181">
        <f t="shared" si="1"/>
        <v>0</v>
      </c>
      <c r="N13" s="181">
        <f t="shared" si="1"/>
        <v>0</v>
      </c>
      <c r="O13" s="181">
        <f t="shared" si="1"/>
        <v>0</v>
      </c>
      <c r="P13" s="181">
        <f t="shared" si="1"/>
        <v>0</v>
      </c>
      <c r="Q13" s="181">
        <f t="shared" si="1"/>
        <v>0</v>
      </c>
      <c r="R13" s="181">
        <f t="shared" si="1"/>
        <v>0</v>
      </c>
      <c r="S13" s="181">
        <f t="shared" si="1"/>
        <v>0</v>
      </c>
      <c r="T13" s="181">
        <f t="shared" si="1"/>
        <v>0</v>
      </c>
      <c r="U13" s="181">
        <f t="shared" si="1"/>
        <v>0</v>
      </c>
      <c r="V13" s="181">
        <f t="shared" si="1"/>
        <v>0</v>
      </c>
      <c r="W13" s="181">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3.1046429999999998</v>
      </c>
      <c r="D15" s="2">
        <f>'Input data'!D15</f>
        <v>1.5134049999999999</v>
      </c>
      <c r="E15" s="2">
        <f>'Input data'!E15</f>
        <v>0.23943519999999999</v>
      </c>
      <c r="F15" s="2">
        <f>'Input data'!F15</f>
        <v>1.0366949999999999</v>
      </c>
      <c r="G15" s="2">
        <f>'Input data'!G15</f>
        <v>1.0661879999999999</v>
      </c>
      <c r="H15" s="2">
        <f>'Input data'!H15</f>
        <v>1.0058400000000001</v>
      </c>
      <c r="I15" s="2">
        <f>'Input data'!I15</f>
        <v>0.90413500000000002</v>
      </c>
      <c r="J15" s="2">
        <f>'Input data'!J15</f>
        <v>0.79055200000000003</v>
      </c>
      <c r="K15" s="2">
        <f>'Input data'!K15</f>
        <v>0.65862969999999998</v>
      </c>
      <c r="L15" s="2">
        <f>'Input data'!L15</f>
        <v>0.49461250000000001</v>
      </c>
      <c r="M15" s="2">
        <f>'Input data'!M15</f>
        <v>0.32602239999999999</v>
      </c>
      <c r="N15" s="2">
        <f>'Input data'!N15</f>
        <v>0.15586639999999999</v>
      </c>
      <c r="O15" s="2">
        <f>'Input data'!O15</f>
        <v>-2.03857E-2</v>
      </c>
      <c r="P15" s="2">
        <f>'Input data'!P15</f>
        <v>-0.19921710000000001</v>
      </c>
      <c r="Q15" s="2">
        <f>'Input data'!Q15</f>
        <v>-0.3653266</v>
      </c>
      <c r="R15" s="2">
        <f>'Input data'!R15</f>
        <v>-0.52362160000000002</v>
      </c>
      <c r="S15" s="2">
        <f>'Input data'!S15</f>
        <v>-0.68878539999999999</v>
      </c>
      <c r="T15" s="2">
        <f>'Input data'!T15</f>
        <v>-0.84298320000000004</v>
      </c>
      <c r="U15" s="2">
        <f>'Input data'!U15</f>
        <v>-0.99308909999999995</v>
      </c>
      <c r="V15" s="2">
        <f>'Input data'!V15</f>
        <v>-1.145699</v>
      </c>
      <c r="W15" s="2">
        <f>'Input data'!W15</f>
        <v>-1.3113919999999999</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15.657</v>
      </c>
      <c r="E18" s="79">
        <f>'Input data'!E20</f>
        <v>15.804749999999999</v>
      </c>
      <c r="F18" s="79">
        <f>'Input data'!F20</f>
        <v>15.831990000000001</v>
      </c>
      <c r="G18" s="79">
        <f>'Input data'!G20</f>
        <v>15.751250000000001</v>
      </c>
      <c r="H18" s="79">
        <f>'Input data'!H20</f>
        <v>15.68426</v>
      </c>
      <c r="I18" s="79">
        <f>'Input data'!I20</f>
        <v>15.683599999999998</v>
      </c>
      <c r="J18" s="79">
        <f>'Input data'!J20</f>
        <v>15.77327</v>
      </c>
      <c r="K18" s="79">
        <f>'Input data'!K20</f>
        <v>15.917799999999998</v>
      </c>
      <c r="L18" s="79">
        <f>'Input data'!L20</f>
        <v>16.102689999999999</v>
      </c>
      <c r="M18" s="79">
        <f>'Input data'!M20</f>
        <v>16.290130000000001</v>
      </c>
      <c r="N18" s="79">
        <f>'Input data'!N20</f>
        <v>16.487660000000002</v>
      </c>
      <c r="O18" s="79">
        <f>'Input data'!O20</f>
        <v>16.680799999999998</v>
      </c>
      <c r="P18" s="79">
        <f>'Input data'!P20</f>
        <v>16.87556</v>
      </c>
      <c r="Q18" s="79">
        <f>'Input data'!Q20</f>
        <v>17.048379999999998</v>
      </c>
      <c r="R18" s="79">
        <f>'Input data'!R20</f>
        <v>17.213420000000003</v>
      </c>
      <c r="S18" s="79">
        <f>'Input data'!S20</f>
        <v>17.378629999999998</v>
      </c>
      <c r="T18" s="79">
        <f>'Input data'!T20</f>
        <v>17.541350000000001</v>
      </c>
      <c r="U18" s="79">
        <f>'Input data'!U20</f>
        <v>17.693180000000002</v>
      </c>
      <c r="V18" s="79">
        <f>'Input data'!V20</f>
        <v>17.836359999999999</v>
      </c>
      <c r="W18" s="79">
        <f>'Input data'!W20</f>
        <v>17.99015</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1.1620919999999999</v>
      </c>
      <c r="D19" s="79">
        <f>'Input data'!D26</f>
        <v>1.1207419999999999</v>
      </c>
      <c r="E19" s="79">
        <f>'Input data'!E26</f>
        <v>1.1188480000000001</v>
      </c>
      <c r="F19" s="79">
        <f>'Input data'!F26</f>
        <v>1.1169530000000001</v>
      </c>
      <c r="G19" s="79">
        <f>'Input data'!G26</f>
        <v>1.115059</v>
      </c>
      <c r="H19" s="79">
        <f>'Input data'!H26</f>
        <v>1.113165</v>
      </c>
      <c r="I19" s="79">
        <f>'Input data'!I26</f>
        <v>1.11127</v>
      </c>
      <c r="J19" s="79">
        <f>'Input data'!J26</f>
        <v>1.1093759999999999</v>
      </c>
      <c r="K19" s="79">
        <f>'Input data'!K26</f>
        <v>1.1074809999999999</v>
      </c>
      <c r="L19" s="79">
        <f>'Input data'!L26</f>
        <v>1.1055870000000001</v>
      </c>
      <c r="M19" s="79">
        <f>'Input data'!M26</f>
        <v>1.103693</v>
      </c>
      <c r="N19" s="79">
        <f>'Input data'!N26</f>
        <v>1.1017980000000001</v>
      </c>
      <c r="O19" s="79">
        <f>'Input data'!O26</f>
        <v>1.099904</v>
      </c>
      <c r="P19" s="79">
        <f>'Input data'!P26</f>
        <v>1.0980099999999999</v>
      </c>
      <c r="Q19" s="79">
        <f>'Input data'!Q26</f>
        <v>1.096115</v>
      </c>
      <c r="R19" s="79">
        <f>'Input data'!R26</f>
        <v>1.0942210000000001</v>
      </c>
      <c r="S19" s="79">
        <f>'Input data'!S26</f>
        <v>1.092327</v>
      </c>
      <c r="T19" s="79">
        <f>'Input data'!T26</f>
        <v>1.0904320000000001</v>
      </c>
      <c r="U19" s="79">
        <f>'Input data'!U26</f>
        <v>1.088538</v>
      </c>
      <c r="V19" s="79">
        <f>'Input data'!V26</f>
        <v>1.0866439999999999</v>
      </c>
      <c r="W19" s="79">
        <f>'Input data'!W26</f>
        <v>1.084749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63.703299999999999</v>
      </c>
      <c r="D23" s="78">
        <f>'Baseline NFPC'!D22</f>
        <v>64.582529761434998</v>
      </c>
      <c r="E23" s="78">
        <f>'Baseline NFPC'!E22</f>
        <v>63.874879608080029</v>
      </c>
      <c r="F23" s="78">
        <f>'Baseline NFPC'!F22</f>
        <v>64.793115494881178</v>
      </c>
      <c r="G23" s="23">
        <f>IF(AND(G50&gt;1,F50&gt;1),IF(AND(G50&gt;0,F50&gt;0),G27*(G51/100+1),0)+IF(G50&gt;0,F23*(1+G52/100),0)-F23*(1+'Input data'!G30/100),IF(G50=1,G27,F23*(1+G52/100)))</f>
        <v>66.079446737489505</v>
      </c>
      <c r="H23" s="23">
        <f>IF(AND(H50&gt;1,G50&gt;1),IF(AND(H50&gt;0,G50&gt;0),H27*(H51/100+1),0)+IF(H50&gt;0,G23*(1+H52/100),0)-G23*(1+'Input data'!H30/100),IF(H50=1,H27,G23*(1+H52/100)))</f>
        <v>67.969735875490613</v>
      </c>
      <c r="I23" s="23">
        <f>IF(AND(I50&gt;1,H50&gt;1),IF(AND(I50&gt;0,H50&gt;0),I27*(I51/100+1),0)+IF(I50&gt;0,H23*(1+I52/100),0)-H23*(1+'Input data'!I30/100),IF(I50=1,I27,H23*(1+I52/100)))</f>
        <v>70.160127224419455</v>
      </c>
      <c r="J23" s="23">
        <f>IF(AND(J50&gt;1,I50&gt;1),IF(AND(J50&gt;0,I50&gt;0),J27*(J51/100+1),0)+IF(J50&gt;0,I23*(1+J52/100),0)-I23*(1+'Input data'!J30/100),IF(J50=1,J27,I23*(1+J52/100)))</f>
        <v>71.983156042997138</v>
      </c>
      <c r="K23" s="23">
        <f>IF(AND(K50&gt;1,J50&gt;1),IF(AND(K50&gt;0,J50&gt;0),K27*(K51/100+1),0)+IF(K50&gt;0,J23*(1+K52/100),0)-J23*(1+'Input data'!K30/100),IF(K50=1,K27,J23*(1+K52/100)))</f>
        <v>73.327859704236715</v>
      </c>
      <c r="L23" s="23">
        <f>IF(AND(L50&gt;1,K50&gt;1),IF(AND(L50&gt;0,K50&gt;0),L27*(L51/100+1),0)+IF(L50&gt;0,K23*(1+L52/100),0)-K23*(1+'Input data'!L30/100),IF(L50=1,L27,K23*(1+L52/100)))</f>
        <v>74.653177174630741</v>
      </c>
      <c r="M23" s="23">
        <f>IF(AND(M50&gt;1,L50&gt;1),IF(AND(M50&gt;0,L50&gt;0),M27*(M51/100+1),0)+IF(M50&gt;0,L23*(1+M52/100),0)-L23*(1+'Input data'!M30/100),IF(M50=1,M27,L23*(1+M52/100)))</f>
        <v>75.947625940250262</v>
      </c>
      <c r="N23" s="23">
        <f>IF(AND(N50&gt;1,M50&gt;1),IF(AND(N50&gt;0,M50&gt;0),N27*(N51/100+1),0)+IF(N50&gt;0,M23*(1+N52/100),0)-M23*(1+'Input data'!N30/100),IF(N50=1,N27,M23*(1+N52/100)))</f>
        <v>77.207849200717135</v>
      </c>
      <c r="O23" s="23">
        <f>IF(AND(O50&gt;1,N50&gt;1),IF(AND(O50&gt;0,N50&gt;0),O27*(O51/100+1),0)+IF(O50&gt;0,N23*(1+O52/100),0)-N23*(1+'Input data'!O30/100),IF(O50=1,O27,N23*(1+O52/100)))</f>
        <v>78.486314673669511</v>
      </c>
      <c r="P23" s="23">
        <f>IF(AND(P50&gt;1,O50&gt;1),IF(AND(P50&gt;0,O50&gt;0),P27*(P51/100+1),0)+IF(P50&gt;0,O23*(1+P52/100),0)-O23*(1+'Input data'!P30/100),IF(P50=1,P27,O23*(1+P52/100)))</f>
        <v>79.82091715968555</v>
      </c>
      <c r="Q23" s="23">
        <f>IF(AND(Q50&gt;1,P50&gt;1),IF(AND(Q50&gt;0,P50&gt;0),Q27*(Q51/100+1),0)+IF(Q50&gt;0,P23*(1+Q52/100),0)-P23*(1+'Input data'!Q30/100),IF(Q50=1,Q27,P23*(1+Q52/100)))</f>
        <v>81.213777796356965</v>
      </c>
      <c r="R23" s="23">
        <f>IF(AND(R50&gt;1,Q50&gt;1),IF(AND(R50&gt;0,Q50&gt;0),R27*(R51/100+1),0)+IF(R50&gt;0,Q23*(1+R52/100),0)-Q23*(1+'Input data'!R30/100),IF(R50=1,R27,Q23*(1+R52/100)))</f>
        <v>82.667131647671667</v>
      </c>
      <c r="S23" s="23">
        <f>IF(AND(S50&gt;1,R50&gt;1),IF(AND(S50&gt;0,R50&gt;0),S27*(S51/100+1),0)+IF(S50&gt;0,R23*(1+S52/100),0)-R23*(1+'Input data'!S30/100),IF(S50=1,S27,R23*(1+S52/100)))</f>
        <v>84.217767809594719</v>
      </c>
      <c r="T23" s="23">
        <f>IF(AND(T50&gt;1,S50&gt;1),IF(AND(T50&gt;0,S50&gt;0),T27*(T51/100+1),0)+IF(T50&gt;0,S23*(1+T52/100),0)-S23*(1+'Input data'!T30/100),IF(T50=1,T27,S23*(1+T52/100)))</f>
        <v>85.894960444634407</v>
      </c>
      <c r="U23" s="23">
        <f>IF(AND(U50&gt;1,T50&gt;1),IF(AND(U50&gt;0,T50&gt;0),U27*(U51/100+1),0)+IF(U50&gt;0,T23*(1+U52/100),0)-T23*(1+'Input data'!U30/100),IF(U50=1,U27,T23*(1+U52/100)))</f>
        <v>87.723436530855494</v>
      </c>
      <c r="V23" s="23">
        <f>IF(AND(V50&gt;1,U50&gt;1),IF(AND(V50&gt;0,U50&gt;0),V27*(V51/100+1),0)+IF(V50&gt;0,U23*(1+V52/100),0)-U23*(1+'Input data'!V30/100),IF(V50=1,V27,U23*(1+V52/100)))</f>
        <v>89.696482239339076</v>
      </c>
      <c r="W23" s="23">
        <f>IF(AND(W50&gt;1,V50&gt;1),IF(AND(W50&gt;0,V50&gt;0),W27*(W51/100+1),0)+IF(W50&gt;0,V23*(1+W52/100),0)-V23*(1+'Input data'!W30/100),IF(W50=1,W27,V23*(1+W52/100)))</f>
        <v>91.693621058568723</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7.1684039999999998</v>
      </c>
      <c r="D24" s="78">
        <f>'Baseline NFPC'!D23</f>
        <v>1.3801950000000001</v>
      </c>
      <c r="E24" s="78">
        <f>'Baseline NFPC'!E23</f>
        <v>-1.0957300000000001</v>
      </c>
      <c r="F24" s="78">
        <f>'Baseline NFPC'!F23</f>
        <v>1.437554</v>
      </c>
      <c r="G24" s="23">
        <f t="shared" ref="G24:S24" si="2">100*(G23/F23-1)</f>
        <v>1.9852900000000062</v>
      </c>
      <c r="H24" s="23">
        <f t="shared" si="2"/>
        <v>2.8606310000000024</v>
      </c>
      <c r="I24" s="23">
        <f t="shared" si="2"/>
        <v>3.2225979999999987</v>
      </c>
      <c r="J24" s="23">
        <f t="shared" si="2"/>
        <v>2.598382999999993</v>
      </c>
      <c r="K24" s="23">
        <f t="shared" si="2"/>
        <v>1.8680809999999992</v>
      </c>
      <c r="L24" s="23">
        <f t="shared" si="2"/>
        <v>1.8073860000000108</v>
      </c>
      <c r="M24" s="23">
        <f t="shared" si="2"/>
        <v>1.7339500000000063</v>
      </c>
      <c r="N24" s="23">
        <f t="shared" si="2"/>
        <v>1.6593319999999911</v>
      </c>
      <c r="O24" s="23">
        <f t="shared" si="2"/>
        <v>1.6558749999999955</v>
      </c>
      <c r="P24" s="23">
        <f t="shared" si="2"/>
        <v>1.7004269999999932</v>
      </c>
      <c r="Q24" s="23">
        <f t="shared" si="2"/>
        <v>1.7449819999999949</v>
      </c>
      <c r="R24" s="23">
        <f t="shared" si="2"/>
        <v>1.7895409999999945</v>
      </c>
      <c r="S24" s="23">
        <f t="shared" si="2"/>
        <v>1.8757590000000102</v>
      </c>
      <c r="T24" s="23">
        <f>100*(T23/S23-1)</f>
        <v>1.9914949999999987</v>
      </c>
      <c r="U24" s="23">
        <f t="shared" ref="U24" si="3">100*(U23/T23-1)</f>
        <v>2.1287349999999927</v>
      </c>
      <c r="V24" s="23">
        <f t="shared" ref="V24" si="4">100*(V23/U23-1)</f>
        <v>2.2491660000000024</v>
      </c>
      <c r="W24" s="23">
        <f t="shared" ref="W24" si="5">100*(W23/V23-1)</f>
        <v>2.2265519999999928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3"/>
      <c r="B26" s="19" t="s">
        <v>62</v>
      </c>
      <c r="C26" s="152"/>
      <c r="D26" s="152"/>
      <c r="E26" s="152"/>
      <c r="F26" s="152"/>
    </row>
    <row r="27" spans="1:50" x14ac:dyDescent="0.2">
      <c r="B27" s="15" t="s">
        <v>39</v>
      </c>
      <c r="C27" s="23">
        <f>'Input data'!C34</f>
        <v>63.190869999999997</v>
      </c>
      <c r="D27" s="78">
        <f>+C27*(1+'Input data'!D33/100)</f>
        <v>64.457839360595599</v>
      </c>
      <c r="E27" s="78">
        <f>+D27*(1+'Input data'!E33/100)</f>
        <v>65.635468615832224</v>
      </c>
      <c r="F27" s="78">
        <f>+E27*(1+'Input data'!F33/100)</f>
        <v>66.855040601828321</v>
      </c>
      <c r="G27" s="23">
        <f>+F27*(1+'Input data'!G33/100)</f>
        <v>68.050190111806245</v>
      </c>
      <c r="H27" s="23">
        <f>+G27*(1+'Input data'!H33/100)</f>
        <v>69.307851534334787</v>
      </c>
      <c r="I27" s="23">
        <f>+H27*(1+'Input data'!I33/100)</f>
        <v>70.614574143299464</v>
      </c>
      <c r="J27" s="23">
        <f>+I27*(1+'Input data'!J33/100)</f>
        <v>71.983154498624998</v>
      </c>
      <c r="K27" s="23">
        <f>+J27*(1+'Input data'!K33/100)</f>
        <v>73.327861730172174</v>
      </c>
      <c r="L27" s="23">
        <f>+K27*(1+'Input data'!L33/100)</f>
        <v>74.653179970461281</v>
      </c>
      <c r="M27" s="23">
        <f>+L27*(1+'Input data'!M33/100)</f>
        <v>75.947631024154504</v>
      </c>
      <c r="N27" s="23">
        <f>+M27*(1+'Input data'!N33/100)</f>
        <v>77.207853609503914</v>
      </c>
      <c r="O27" s="23">
        <f>+N27*(1+'Input data'!O33/100)</f>
        <v>78.486317611303221</v>
      </c>
      <c r="P27" s="23">
        <f>+O27*(1+'Input data'!P33/100)</f>
        <v>79.820920932134754</v>
      </c>
      <c r="Q27" s="23">
        <f>+P27*(1+'Input data'!Q33/100)</f>
        <v>81.213783231053156</v>
      </c>
      <c r="R27" s="23">
        <f>+Q27*(1+'Input data'!R33/100)</f>
        <v>82.667136367486151</v>
      </c>
      <c r="S27" s="23">
        <f>+R27*(1+'Input data'!S33/100)</f>
        <v>84.217775097955624</v>
      </c>
      <c r="T27" s="23">
        <f>+S27*(1+'Input data'!T33/100)</f>
        <v>85.894969562498162</v>
      </c>
      <c r="U27" s="23">
        <f>+T27*(1+'Input data'!U33/100)</f>
        <v>87.723444983864709</v>
      </c>
      <c r="V27" s="23">
        <f>+U27*(1+'Input data'!V33/100)</f>
        <v>89.696487373532705</v>
      </c>
      <c r="W27" s="23">
        <f>+V27*(1+'Input data'!W33/100)</f>
        <v>91.693624513148094</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0.81092410976459917</v>
      </c>
      <c r="D30" s="78">
        <f t="shared" ref="D30:T30" si="6">100*(D23/D27-1)</f>
        <v>0.19344489681363264</v>
      </c>
      <c r="E30" s="78">
        <f t="shared" si="6"/>
        <v>-2.6823744004282446</v>
      </c>
      <c r="F30" s="78">
        <f t="shared" si="6"/>
        <v>-3.0841729933685169</v>
      </c>
      <c r="G30" s="23">
        <f t="shared" si="6"/>
        <v>-2.8960145020591632</v>
      </c>
      <c r="H30" s="23">
        <f t="shared" si="6"/>
        <v>-1.9306840844450002</v>
      </c>
      <c r="I30" s="23">
        <f t="shared" si="6"/>
        <v>-0.64355966794870101</v>
      </c>
      <c r="J30" s="23">
        <f t="shared" si="6"/>
        <v>2.1454632737061274E-6</v>
      </c>
      <c r="K30" s="23">
        <f t="shared" si="6"/>
        <v>-2.7628454080108611E-6</v>
      </c>
      <c r="L30" s="23">
        <f t="shared" si="6"/>
        <v>-3.7450923584536611E-6</v>
      </c>
      <c r="M30" s="23">
        <f>100*(M23/M27-1)</f>
        <v>-6.6939602638704798E-6</v>
      </c>
      <c r="N30" s="23">
        <f t="shared" si="6"/>
        <v>-5.7102827910604503E-6</v>
      </c>
      <c r="O30" s="23">
        <f t="shared" si="6"/>
        <v>-3.742860921196467E-6</v>
      </c>
      <c r="P30" s="23">
        <f t="shared" si="6"/>
        <v>-4.7261409119592201E-6</v>
      </c>
      <c r="Q30" s="23">
        <f t="shared" si="6"/>
        <v>-6.691839704586755E-6</v>
      </c>
      <c r="R30" s="23">
        <f t="shared" si="6"/>
        <v>-5.7094205696550659E-6</v>
      </c>
      <c r="S30" s="23">
        <f t="shared" si="6"/>
        <v>-8.6541836252784776E-6</v>
      </c>
      <c r="T30" s="23">
        <f t="shared" si="6"/>
        <v>-1.061513125177882E-5</v>
      </c>
      <c r="U30" s="23">
        <f t="shared" ref="U30:W30" si="7">100*(U23/U27-1)</f>
        <v>-9.6359749846008924E-6</v>
      </c>
      <c r="V30" s="23">
        <f t="shared" si="7"/>
        <v>-5.7239628703520395E-6</v>
      </c>
      <c r="W30" s="23">
        <f t="shared" si="7"/>
        <v>-3.7675240704970747E-6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8">100*((1+C24/100)*(1+C42/100)-1)</f>
        <v>12.14517500799117</v>
      </c>
      <c r="D33" s="2">
        <f t="shared" si="8"/>
        <v>7.1421769072991026</v>
      </c>
      <c r="E33" s="2">
        <f t="shared" si="8"/>
        <v>2.2967181103664025</v>
      </c>
      <c r="F33" s="2">
        <f>100*((1+F24/100)*(1+F42/100)-1)</f>
        <v>5.4814929446546756</v>
      </c>
      <c r="G33" s="1">
        <f>100*((1+G24/100)*(1+G42/100)-1)</f>
        <v>4.5708710448721046</v>
      </c>
      <c r="H33" s="1">
        <f t="shared" si="8"/>
        <v>5.4703007402810311</v>
      </c>
      <c r="I33" s="1">
        <f t="shared" si="8"/>
        <v>5.8433544749267652</v>
      </c>
      <c r="J33" s="1">
        <f t="shared" si="8"/>
        <v>5.2051828368272934</v>
      </c>
      <c r="K33" s="1">
        <f t="shared" si="8"/>
        <v>4.4582037851858436</v>
      </c>
      <c r="L33" s="1">
        <f t="shared" si="8"/>
        <v>4.3978427401841769</v>
      </c>
      <c r="M33" s="1">
        <f t="shared" si="8"/>
        <v>4.3244140312588719</v>
      </c>
      <c r="N33" s="1">
        <f t="shared" si="8"/>
        <v>4.2497704949920667</v>
      </c>
      <c r="O33" s="1">
        <f t="shared" si="8"/>
        <v>4.2480998125000058</v>
      </c>
      <c r="P33" s="1">
        <f t="shared" si="8"/>
        <v>4.2658202710750048</v>
      </c>
      <c r="Q33" s="1">
        <f t="shared" si="8"/>
        <v>4.2835193009000072</v>
      </c>
      <c r="R33" s="1">
        <f t="shared" si="8"/>
        <v>4.3011979241750042</v>
      </c>
      <c r="S33" s="1">
        <f t="shared" si="8"/>
        <v>4.3615275196000169</v>
      </c>
      <c r="T33" s="1">
        <f t="shared" si="8"/>
        <v>4.4520398168749864</v>
      </c>
      <c r="U33" s="1">
        <f>100*((1+U24/100)*(1+U42/100)-1)</f>
        <v>4.5645053297499905</v>
      </c>
      <c r="V33" s="1">
        <f t="shared" si="8"/>
        <v>4.659690088449997</v>
      </c>
      <c r="W33" s="1">
        <f t="shared" si="8"/>
        <v>4.6084306615999937</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0.72664200000000001</v>
      </c>
      <c r="D36" s="78">
        <f>'Input data'!D37</f>
        <v>0.70384469999999999</v>
      </c>
      <c r="E36" s="78">
        <f>'Input data'!E37</f>
        <v>1.2501800000000001</v>
      </c>
      <c r="F36" s="78">
        <f>'Input data'!F37</f>
        <v>1.5276190000000001</v>
      </c>
      <c r="G36" s="78">
        <f>'Input data'!G37</f>
        <v>1.6779250000000001</v>
      </c>
      <c r="H36" s="23">
        <f t="shared" ref="H36:W36" si="9">H99</f>
        <v>1.8076504159462488</v>
      </c>
      <c r="I36" s="23">
        <f t="shared" si="9"/>
        <v>1.915575898410242</v>
      </c>
      <c r="J36" s="23">
        <f t="shared" si="9"/>
        <v>2.001132910047454</v>
      </c>
      <c r="K36" s="23">
        <f t="shared" si="9"/>
        <v>2.0777696003303627</v>
      </c>
      <c r="L36" s="23">
        <f t="shared" si="9"/>
        <v>2.160162698137885</v>
      </c>
      <c r="M36" s="23">
        <f t="shared" si="9"/>
        <v>2.2473481043520294</v>
      </c>
      <c r="N36" s="23">
        <f t="shared" si="9"/>
        <v>2.3379592142661361</v>
      </c>
      <c r="O36" s="23">
        <f t="shared" si="9"/>
        <v>2.4309285943829524</v>
      </c>
      <c r="P36" s="23">
        <f t="shared" si="9"/>
        <v>2.5242666869474162</v>
      </c>
      <c r="Q36" s="23">
        <f t="shared" si="9"/>
        <v>2.6119127579871693</v>
      </c>
      <c r="R36" s="23">
        <f t="shared" si="9"/>
        <v>2.6941866269715082</v>
      </c>
      <c r="S36" s="23">
        <f t="shared" si="9"/>
        <v>2.7716191422797687</v>
      </c>
      <c r="T36" s="23">
        <f t="shared" si="9"/>
        <v>2.8445908556345119</v>
      </c>
      <c r="U36" s="23">
        <f t="shared" si="9"/>
        <v>2.9137264198070763</v>
      </c>
      <c r="V36" s="23">
        <f t="shared" si="9"/>
        <v>2.9793309473288856</v>
      </c>
      <c r="W36" s="23">
        <f t="shared" si="9"/>
        <v>3.0416416440119143</v>
      </c>
    </row>
    <row r="37" spans="2:51" x14ac:dyDescent="0.2">
      <c r="B37" s="21" t="s">
        <v>66</v>
      </c>
      <c r="C37" s="1"/>
      <c r="D37" s="2">
        <f>'Input data'!D$39</f>
        <v>1.73</v>
      </c>
      <c r="E37" s="2">
        <f>'Input data'!E$39</f>
        <v>2.97</v>
      </c>
      <c r="F37" s="138">
        <f>'Input data'!F$39</f>
        <v>2.8695020000000002</v>
      </c>
      <c r="G37" s="138">
        <f>'Input data'!G$39</f>
        <v>2.8953579999999999</v>
      </c>
      <c r="H37" s="1">
        <f>G37+($O$37-$G$37)/($O$10-$G$10)</f>
        <v>2.9340169999999999</v>
      </c>
      <c r="I37" s="1">
        <f t="shared" ref="I37:N37" si="10">H37+($O$37-$G$37)/($O$10-$G$10)</f>
        <v>2.9726759999999999</v>
      </c>
      <c r="J37" s="1">
        <f t="shared" si="10"/>
        <v>3.0113349999999999</v>
      </c>
      <c r="K37" s="1">
        <f t="shared" si="10"/>
        <v>3.0499939999999999</v>
      </c>
      <c r="L37" s="1">
        <f t="shared" si="10"/>
        <v>3.0886529999999999</v>
      </c>
      <c r="M37" s="1">
        <f t="shared" si="10"/>
        <v>3.1273119999999999</v>
      </c>
      <c r="N37" s="1">
        <f t="shared" si="10"/>
        <v>3.1659709999999999</v>
      </c>
      <c r="O37" s="172">
        <f>'Input data'!$C$52</f>
        <v>3.2046299999999999</v>
      </c>
      <c r="P37" s="1">
        <f>'Baseline NFPC'!P36</f>
        <v>3.2443985</v>
      </c>
      <c r="Q37" s="1">
        <f>'Baseline NFPC'!Q36</f>
        <v>3.2841670000000001</v>
      </c>
      <c r="R37" s="1">
        <f>'Baseline NFPC'!R36</f>
        <v>3.3239354999999997</v>
      </c>
      <c r="S37" s="1">
        <f>'Baseline NFPC'!S36</f>
        <v>3.3637039999999998</v>
      </c>
      <c r="T37" s="1">
        <f>'Baseline NFPC'!T36</f>
        <v>3.4034724999999999</v>
      </c>
      <c r="U37" s="1">
        <f>'Baseline NFPC'!U36</f>
        <v>3.443241</v>
      </c>
      <c r="V37" s="1">
        <f>'Baseline NFPC'!V36</f>
        <v>3.4830095000000001</v>
      </c>
      <c r="W37" s="1">
        <f>'Baseline NFPC'!W36</f>
        <v>3.5227779999999997</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11">H38+($O$38-$G$38)/($O$10-$G$10)</f>
        <v>2.7938037499999995</v>
      </c>
      <c r="J38" s="1">
        <f t="shared" si="11"/>
        <v>2.7825181249999993</v>
      </c>
      <c r="K38" s="1">
        <f t="shared" si="11"/>
        <v>2.7712324999999991</v>
      </c>
      <c r="L38" s="1">
        <f t="shared" si="11"/>
        <v>2.7599468749999989</v>
      </c>
      <c r="M38" s="1">
        <f t="shared" si="11"/>
        <v>2.7486612499999987</v>
      </c>
      <c r="N38" s="1">
        <f t="shared" si="11"/>
        <v>2.7373756249999985</v>
      </c>
      <c r="O38" s="172">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1E-3</v>
      </c>
      <c r="D39" s="23">
        <f>'Baseline NFPC'!D38</f>
        <v>7.0175440000000006E-2</v>
      </c>
      <c r="E39" s="23">
        <f>'Baseline NFPC'!E38</f>
        <v>0.12698413</v>
      </c>
      <c r="F39" s="23">
        <f>'Baseline NFPC'!F38</f>
        <v>1E-3</v>
      </c>
      <c r="G39" s="23">
        <f>'Baseline NFPC'!G38</f>
        <v>8.824633333333335E-3</v>
      </c>
      <c r="H39" s="23">
        <f>'Baseline NFPC'!H38</f>
        <v>1.6649266666666669E-2</v>
      </c>
      <c r="I39" s="23">
        <f>'Baseline NFPC'!I38</f>
        <v>2.4473900000000003E-2</v>
      </c>
      <c r="J39" s="23">
        <f>'Baseline NFPC'!J38</f>
        <v>3.2298533333333337E-2</v>
      </c>
      <c r="K39" s="23">
        <f>'Baseline NFPC'!K38</f>
        <v>4.0123166666666668E-2</v>
      </c>
      <c r="L39" s="23">
        <f>'Baseline NFPC'!L38</f>
        <v>4.7947800000000006E-2</v>
      </c>
      <c r="M39" s="23">
        <f>'Baseline NFPC'!M38</f>
        <v>5.5772433333333343E-2</v>
      </c>
      <c r="N39" s="23">
        <f>'Baseline NFPC'!N38</f>
        <v>6.3597066666666674E-2</v>
      </c>
      <c r="O39" s="23">
        <f>'Baseline NFPC'!O38</f>
        <v>7.1421700000000005E-2</v>
      </c>
      <c r="P39" s="23">
        <f>'Baseline NFPC'!P38</f>
        <v>7.1421700000000005E-2</v>
      </c>
      <c r="Q39" s="23">
        <f>'Baseline NFPC'!Q38</f>
        <v>7.1421700000000005E-2</v>
      </c>
      <c r="R39" s="23">
        <f>'Baseline NFPC'!R38</f>
        <v>7.1421700000000005E-2</v>
      </c>
      <c r="S39" s="23">
        <f>'Baseline NFPC'!S38</f>
        <v>7.1421700000000005E-2</v>
      </c>
      <c r="T39" s="23">
        <f>'Baseline NFPC'!T38</f>
        <v>7.1421700000000005E-2</v>
      </c>
      <c r="U39" s="23">
        <f>'Baseline NFPC'!U38</f>
        <v>7.1421700000000005E-2</v>
      </c>
      <c r="V39" s="23">
        <f>'Baseline NFPC'!V38</f>
        <v>7.1421700000000005E-2</v>
      </c>
      <c r="W39" s="23">
        <f>'Baseline NFPC'!W38</f>
        <v>7.1421700000000005E-2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4.6438790000000001</v>
      </c>
      <c r="D42" s="2">
        <f>'Input data'!D42</f>
        <v>5.6835380000000004</v>
      </c>
      <c r="E42" s="2">
        <f>'Input data'!E42</f>
        <v>3.4300320000000002</v>
      </c>
      <c r="F42" s="2">
        <f>'Input data'!F42</f>
        <v>3.9866290000000002</v>
      </c>
      <c r="G42" s="2">
        <f>'Input data'!G42</f>
        <v>2.5352489999999999</v>
      </c>
      <c r="H42" s="1">
        <f>'Baseline NFPC'!H41</f>
        <v>2.5370928749999999</v>
      </c>
      <c r="I42" s="1">
        <f>'Baseline NFPC'!I41</f>
        <v>2.53893675</v>
      </c>
      <c r="J42" s="1">
        <f>'Baseline NFPC'!J41</f>
        <v>2.540780625</v>
      </c>
      <c r="K42" s="1">
        <f>'Baseline NFPC'!K41</f>
        <v>2.5426244999999996</v>
      </c>
      <c r="L42" s="1">
        <f>'Baseline NFPC'!L41</f>
        <v>2.5444683749999997</v>
      </c>
      <c r="M42" s="1">
        <f>'Baseline NFPC'!M41</f>
        <v>2.5463122499999997</v>
      </c>
      <c r="N42" s="1">
        <f>'Baseline NFPC'!N41</f>
        <v>2.5481561249999998</v>
      </c>
      <c r="O42" s="172">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0.99999990000000005</v>
      </c>
      <c r="D43" s="1">
        <f>'Baseline NFPC'!D42</f>
        <v>1</v>
      </c>
      <c r="E43" s="1">
        <f>'Baseline NFPC'!E42</f>
        <v>1</v>
      </c>
      <c r="F43" s="1">
        <f>'Baseline NFPC'!F42</f>
        <v>0.99999990000000005</v>
      </c>
      <c r="G43" s="1">
        <f>'Baseline NFPC'!G42</f>
        <v>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190</v>
      </c>
      <c r="C48" s="42">
        <f>'Input data'!C50</f>
        <v>0.46200000000000002</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12">IF(C50=4,2/3*C30,IF(C50=3,1/3*B30,0))</f>
        <v>0</v>
      </c>
      <c r="E51" s="23">
        <f t="shared" si="12"/>
        <v>0</v>
      </c>
      <c r="F51" s="23">
        <f t="shared" si="12"/>
        <v>0</v>
      </c>
      <c r="G51" s="23">
        <f t="shared" si="12"/>
        <v>0</v>
      </c>
      <c r="H51" s="23">
        <f t="shared" si="12"/>
        <v>0</v>
      </c>
      <c r="I51" s="23">
        <f t="shared" si="12"/>
        <v>0</v>
      </c>
      <c r="J51" s="23">
        <f t="shared" si="12"/>
        <v>0</v>
      </c>
      <c r="K51" s="23">
        <f t="shared" si="12"/>
        <v>0</v>
      </c>
      <c r="L51" s="23">
        <f t="shared" si="12"/>
        <v>0</v>
      </c>
      <c r="M51" s="23">
        <f t="shared" si="12"/>
        <v>0</v>
      </c>
      <c r="N51" s="23">
        <f t="shared" si="12"/>
        <v>0</v>
      </c>
      <c r="O51" s="23">
        <f t="shared" si="12"/>
        <v>0</v>
      </c>
      <c r="P51" s="23">
        <f t="shared" si="12"/>
        <v>0</v>
      </c>
      <c r="Q51" s="23">
        <f t="shared" si="12"/>
        <v>0</v>
      </c>
      <c r="R51" s="23">
        <f t="shared" si="12"/>
        <v>0</v>
      </c>
      <c r="S51" s="23">
        <f t="shared" si="12"/>
        <v>0</v>
      </c>
      <c r="T51" s="23">
        <f t="shared" si="12"/>
        <v>0</v>
      </c>
      <c r="U51" s="23">
        <f t="shared" si="12"/>
        <v>0</v>
      </c>
      <c r="V51" s="23">
        <f t="shared" si="12"/>
        <v>0</v>
      </c>
      <c r="W51" s="23">
        <f t="shared" si="12"/>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1.3801950000000001</v>
      </c>
      <c r="E52" s="23">
        <f>'Input data'!E30-$C$47*((E12-D12)-('Input data'!E13-'Input data'!D13))</f>
        <v>-1.0957300000000001</v>
      </c>
      <c r="F52" s="23">
        <f>'Input data'!F30-$C$47*((F12-E12)-('Input data'!F13-'Input data'!E13))</f>
        <v>1.437554</v>
      </c>
      <c r="G52" s="23">
        <f>'Input data'!G30-$C$47*((G12-F12))</f>
        <v>1.98529</v>
      </c>
      <c r="H52" s="23">
        <f>'Input data'!H30-$C$47*((H12-G12))</f>
        <v>2.8606310000000001</v>
      </c>
      <c r="I52" s="23">
        <f>'Input data'!I30-$C$47*((I12-H12))</f>
        <v>3.2225980000000001</v>
      </c>
      <c r="J52" s="23">
        <f>'Input data'!J30-$C$47*((J12-I12))</f>
        <v>2.5983830000000001</v>
      </c>
      <c r="K52" s="23">
        <f>'Input data'!K30-$C$47*((K12-J12))</f>
        <v>1.8680810000000001</v>
      </c>
      <c r="L52" s="23">
        <f>'Input data'!L30-$C$47*((L12-K12))</f>
        <v>1.8073859999999999</v>
      </c>
      <c r="M52" s="23">
        <f>'Input data'!M30-$C$47*((M12-L12))</f>
        <v>1.7339500000000001</v>
      </c>
      <c r="N52" s="23">
        <f>'Input data'!N30-$C$47*((N12-M12))</f>
        <v>1.659332</v>
      </c>
      <c r="O52" s="23">
        <f>'Input data'!O30-$C$47*((O12-N12))</f>
        <v>1.655875</v>
      </c>
      <c r="P52" s="23">
        <f>'Input data'!P30-$C$47*((P12-O12))</f>
        <v>1.7004269999999999</v>
      </c>
      <c r="Q52" s="23">
        <f>'Input data'!Q30-$C$47*((Q12-P12))</f>
        <v>1.744982</v>
      </c>
      <c r="R52" s="23">
        <f>'Input data'!R30-$C$47*((R12-Q12))</f>
        <v>1.789541</v>
      </c>
      <c r="S52" s="23">
        <f>'Input data'!S30-$C$47*((S12-R12))</f>
        <v>1.875759</v>
      </c>
      <c r="T52" s="23">
        <f>'Input data'!T30-$C$47*((T12-S12))</f>
        <v>1.991495</v>
      </c>
      <c r="U52" s="23">
        <f>'Input data'!U30-$C$47*((U12-T12))</f>
        <v>2.1287349999999998</v>
      </c>
      <c r="V52" s="23">
        <f>'Input data'!V30-$C$47*((V12-U12))</f>
        <v>2.2491660000000002</v>
      </c>
      <c r="W52" s="23">
        <f>'Input data'!W30-$C$47*((W12-V12))</f>
        <v>2.2265519999999999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24.503830000000001</v>
      </c>
      <c r="D57" s="32">
        <f>+C57+D58</f>
        <v>24.733491557672103</v>
      </c>
      <c r="E57" s="32">
        <f>+D57+E58</f>
        <v>25.669613830669952</v>
      </c>
      <c r="F57" s="32">
        <f>+E57+F58</f>
        <v>27.071291453606207</v>
      </c>
      <c r="G57" s="32">
        <f>+F57+G58</f>
        <v>28.628811353557538</v>
      </c>
      <c r="H57" s="32">
        <f t="shared" ref="H57:S57" si="13">+G57+H58</f>
        <v>29.434736131451967</v>
      </c>
      <c r="I57" s="32">
        <f t="shared" si="13"/>
        <v>29.446188536480143</v>
      </c>
      <c r="J57" s="32">
        <f t="shared" si="13"/>
        <v>29.242245472814364</v>
      </c>
      <c r="K57" s="32">
        <f t="shared" si="13"/>
        <v>29.283214683409046</v>
      </c>
      <c r="L57" s="32">
        <f t="shared" si="13"/>
        <v>29.385673711227003</v>
      </c>
      <c r="M57" s="32">
        <f t="shared" si="13"/>
        <v>29.551479679620723</v>
      </c>
      <c r="N57" s="32">
        <f t="shared" si="13"/>
        <v>29.789676192438083</v>
      </c>
      <c r="O57" s="32">
        <f t="shared" si="13"/>
        <v>30.069320820586011</v>
      </c>
      <c r="P57" s="32">
        <f t="shared" si="13"/>
        <v>30.383810480391688</v>
      </c>
      <c r="Q57" s="32">
        <f t="shared" si="13"/>
        <v>30.722119367867833</v>
      </c>
      <c r="R57" s="32">
        <f t="shared" si="13"/>
        <v>31.082754023138385</v>
      </c>
      <c r="S57" s="32">
        <f t="shared" si="13"/>
        <v>31.445144526745747</v>
      </c>
      <c r="T57" s="32">
        <f>+S57+T58</f>
        <v>31.807566807367863</v>
      </c>
      <c r="U57" s="32">
        <f>+T57+U58</f>
        <v>32.155375202813921</v>
      </c>
      <c r="V57" s="32">
        <f t="shared" ref="V57" si="14">+U57+V58</f>
        <v>32.481528507307431</v>
      </c>
      <c r="W57" s="32">
        <f t="shared" ref="W57" si="15">+V57+W58</f>
        <v>32.827445009787084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0.22966155767210172</v>
      </c>
      <c r="E58" s="33">
        <f>-E59+E67+E72</f>
        <v>0.93612227299784911</v>
      </c>
      <c r="F58" s="33">
        <f>-F59+F67+F72</f>
        <v>1.4016776229362551</v>
      </c>
      <c r="G58" s="33">
        <f>-G59+G67+G72</f>
        <v>1.5575198999513318</v>
      </c>
      <c r="H58" s="33">
        <f t="shared" ref="H58:S58" si="16">-H59+H67+H72</f>
        <v>0.80592477789443029</v>
      </c>
      <c r="I58" s="33">
        <f t="shared" si="16"/>
        <v>1.1452405028175572E-2</v>
      </c>
      <c r="J58" s="33">
        <f t="shared" si="16"/>
        <v>-0.20394306366578041</v>
      </c>
      <c r="K58" s="33">
        <f t="shared" si="16"/>
        <v>4.0969210594683281E-2</v>
      </c>
      <c r="L58" s="33">
        <f t="shared" si="16"/>
        <v>0.10245902781795707</v>
      </c>
      <c r="M58" s="33">
        <f t="shared" si="16"/>
        <v>0.16580596839371881</v>
      </c>
      <c r="N58" s="33">
        <f t="shared" si="16"/>
        <v>0.23819651281736179</v>
      </c>
      <c r="O58" s="33">
        <f t="shared" si="16"/>
        <v>0.27964462814792884</v>
      </c>
      <c r="P58" s="33">
        <f t="shared" si="16"/>
        <v>0.31448965980567589</v>
      </c>
      <c r="Q58" s="33">
        <f t="shared" si="16"/>
        <v>0.33830888747614468</v>
      </c>
      <c r="R58" s="33">
        <f t="shared" si="16"/>
        <v>0.3606346552705525</v>
      </c>
      <c r="S58" s="33">
        <f t="shared" si="16"/>
        <v>0.36239050360736158</v>
      </c>
      <c r="T58" s="33">
        <f>-T59+T67+T72</f>
        <v>0.36242228062211612</v>
      </c>
      <c r="U58" s="33">
        <f t="shared" ref="U58:W58" si="17">-U59+U67+U72</f>
        <v>0.34780839544605957</v>
      </c>
      <c r="V58" s="33">
        <f t="shared" si="17"/>
        <v>0.32615330449350854</v>
      </c>
      <c r="W58" s="33">
        <f t="shared" si="17"/>
        <v>0.34591650247965267</v>
      </c>
    </row>
    <row r="59" spans="2:48" outlineLevel="1" x14ac:dyDescent="0.2">
      <c r="B59" s="65" t="s">
        <v>78</v>
      </c>
      <c r="C59" s="34"/>
      <c r="D59" s="34">
        <f>D60+D61-D62-D63-D64-D65-D66</f>
        <v>-0.18872855767210173</v>
      </c>
      <c r="E59" s="34">
        <f t="shared" ref="E59:R59" si="18">E60+E61-E62-E63-E64-E65-E66</f>
        <v>-0.94972017299784905</v>
      </c>
      <c r="F59" s="34">
        <f t="shared" si="18"/>
        <v>-1.3271848229362551</v>
      </c>
      <c r="G59" s="34">
        <f t="shared" si="18"/>
        <v>-1.2402555999513336</v>
      </c>
      <c r="H59" s="34">
        <f t="shared" si="18"/>
        <v>-0.79427294701359008</v>
      </c>
      <c r="I59" s="34">
        <f t="shared" si="18"/>
        <v>-0.1996214665922999</v>
      </c>
      <c r="J59" s="34">
        <f t="shared" si="18"/>
        <v>9.7704091204032451E-2</v>
      </c>
      <c r="K59" s="34">
        <f t="shared" si="18"/>
        <v>-4.8723176434576312E-2</v>
      </c>
      <c r="L59" s="34">
        <f t="shared" si="18"/>
        <v>-0.23550763023266835</v>
      </c>
      <c r="M59" s="34">
        <f t="shared" si="18"/>
        <v>-0.42484299260964298</v>
      </c>
      <c r="N59" s="34">
        <f t="shared" si="18"/>
        <v>-0.62426753815065095</v>
      </c>
      <c r="O59" s="34">
        <f t="shared" si="18"/>
        <v>-0.81930062920174329</v>
      </c>
      <c r="P59" s="34">
        <f t="shared" si="18"/>
        <v>-1.0159550834771014</v>
      </c>
      <c r="Q59" s="34">
        <f t="shared" si="18"/>
        <v>-1.1906709916299414</v>
      </c>
      <c r="R59" s="34">
        <f t="shared" si="18"/>
        <v>-1.3576045377523056</v>
      </c>
      <c r="S59" s="34">
        <f>S60+S61-S62-S63-S64-S65-S66</f>
        <v>-1.5247098982328322</v>
      </c>
      <c r="T59" s="34">
        <f>T60+T61-T62-T63-T64-T65-T66</f>
        <v>-1.6893258041906394</v>
      </c>
      <c r="U59" s="34">
        <f>U60+U61-U62-U63-U64-U65-U66</f>
        <v>-1.8430493518204443</v>
      </c>
      <c r="V59" s="34">
        <f t="shared" ref="V59:W59" si="19">V60+V61-V62-V63-V64-V65-V66</f>
        <v>-1.9881215444708451</v>
      </c>
      <c r="W59" s="34">
        <f t="shared" si="19"/>
        <v>-2.1438056405961206</v>
      </c>
    </row>
    <row r="60" spans="2:48" outlineLevel="1" x14ac:dyDescent="0.2">
      <c r="B60" s="64" t="s">
        <v>79</v>
      </c>
      <c r="C60" s="1"/>
      <c r="D60" s="1">
        <f>D12</f>
        <v>-0.27810010000000002</v>
      </c>
      <c r="E60" s="1">
        <f>E12</f>
        <v>0.28953679999999998</v>
      </c>
      <c r="F60" s="1">
        <f>F12</f>
        <v>9.7703100000000001E-2</v>
      </c>
      <c r="G60" s="1">
        <f t="shared" ref="G60:W60" si="20">IF(G12="",F60,G12)</f>
        <v>9.7703100000000001E-2</v>
      </c>
      <c r="H60" s="1">
        <f t="shared" si="20"/>
        <v>9.7703100000000001E-2</v>
      </c>
      <c r="I60" s="1">
        <f t="shared" si="20"/>
        <v>9.7703100000000001E-2</v>
      </c>
      <c r="J60" s="1">
        <f t="shared" si="20"/>
        <v>9.7703100000000001E-2</v>
      </c>
      <c r="K60" s="1">
        <f t="shared" si="20"/>
        <v>9.7703100000000001E-2</v>
      </c>
      <c r="L60" s="1">
        <f t="shared" si="20"/>
        <v>9.7703100000000001E-2</v>
      </c>
      <c r="M60" s="1">
        <f t="shared" si="20"/>
        <v>9.7703100000000001E-2</v>
      </c>
      <c r="N60" s="1">
        <f t="shared" si="20"/>
        <v>9.7703100000000001E-2</v>
      </c>
      <c r="O60" s="1">
        <f t="shared" si="20"/>
        <v>9.7703100000000001E-2</v>
      </c>
      <c r="P60" s="1">
        <f t="shared" si="20"/>
        <v>9.7703100000000001E-2</v>
      </c>
      <c r="Q60" s="1">
        <f t="shared" si="20"/>
        <v>9.7703100000000001E-2</v>
      </c>
      <c r="R60" s="1">
        <f t="shared" si="20"/>
        <v>9.7703100000000001E-2</v>
      </c>
      <c r="S60" s="1">
        <f t="shared" si="20"/>
        <v>9.7703100000000001E-2</v>
      </c>
      <c r="T60" s="1">
        <f t="shared" si="20"/>
        <v>9.7703100000000001E-2</v>
      </c>
      <c r="U60" s="1">
        <f t="shared" si="20"/>
        <v>9.7703100000000001E-2</v>
      </c>
      <c r="V60" s="1">
        <f t="shared" si="20"/>
        <v>9.7703100000000001E-2</v>
      </c>
      <c r="W60" s="1">
        <f t="shared" si="20"/>
        <v>9.7703100000000001E-2</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21">-$C$48*D30</f>
        <v>-8.937154232789829E-2</v>
      </c>
      <c r="E62" s="1">
        <f t="shared" si="21"/>
        <v>1.2392569729978491</v>
      </c>
      <c r="F62" s="1">
        <f t="shared" si="21"/>
        <v>1.424887922936255</v>
      </c>
      <c r="G62" s="1">
        <f t="shared" si="21"/>
        <v>1.3379586999513335</v>
      </c>
      <c r="H62" s="1">
        <f t="shared" si="21"/>
        <v>0.89197604701359012</v>
      </c>
      <c r="I62" s="1">
        <f t="shared" si="21"/>
        <v>0.29732456659229989</v>
      </c>
      <c r="J62" s="1">
        <f t="shared" si="21"/>
        <v>-9.9120403245223083E-7</v>
      </c>
      <c r="K62" s="1">
        <f t="shared" si="21"/>
        <v>1.2764345785010179E-6</v>
      </c>
      <c r="L62" s="1">
        <f t="shared" si="21"/>
        <v>1.7302326696055915E-6</v>
      </c>
      <c r="M62" s="1">
        <f>-$C$48*M30</f>
        <v>3.092609641908162E-6</v>
      </c>
      <c r="N62" s="1">
        <f t="shared" si="21"/>
        <v>2.638150649469928E-6</v>
      </c>
      <c r="O62" s="1">
        <f t="shared" si="21"/>
        <v>1.7292017455927678E-6</v>
      </c>
      <c r="P62" s="1">
        <f t="shared" si="21"/>
        <v>2.1834771013251596E-6</v>
      </c>
      <c r="Q62" s="1">
        <f t="shared" si="21"/>
        <v>3.0916299435190809E-6</v>
      </c>
      <c r="R62" s="1">
        <f t="shared" si="21"/>
        <v>2.6377523031806406E-6</v>
      </c>
      <c r="S62" s="1">
        <f t="shared" si="21"/>
        <v>3.9982328348786565E-6</v>
      </c>
      <c r="T62" s="1">
        <f t="shared" si="21"/>
        <v>4.9041906383218146E-6</v>
      </c>
      <c r="U62" s="1">
        <f>-$C$48*U30</f>
        <v>4.4518204428856125E-6</v>
      </c>
      <c r="V62" s="1">
        <f t="shared" si="21"/>
        <v>2.6444708461026424E-6</v>
      </c>
      <c r="W62" s="1">
        <f t="shared" si="21"/>
        <v>1.7405961205696485E-6</v>
      </c>
    </row>
    <row r="63" spans="2:48" outlineLevel="1" x14ac:dyDescent="0.2">
      <c r="B63" s="64" t="s">
        <v>82</v>
      </c>
      <c r="C63" s="1"/>
      <c r="D63" s="1">
        <f t="shared" ref="D63:W63" si="22">-D14</f>
        <v>0</v>
      </c>
      <c r="E63" s="1">
        <f t="shared" si="22"/>
        <v>0</v>
      </c>
      <c r="F63" s="1">
        <f t="shared" si="22"/>
        <v>0</v>
      </c>
      <c r="G63" s="1">
        <f t="shared" si="22"/>
        <v>0</v>
      </c>
      <c r="H63" s="1">
        <f t="shared" si="22"/>
        <v>0</v>
      </c>
      <c r="I63" s="1">
        <f t="shared" si="22"/>
        <v>0</v>
      </c>
      <c r="J63" s="1">
        <f t="shared" si="22"/>
        <v>0</v>
      </c>
      <c r="K63" s="1">
        <f t="shared" si="22"/>
        <v>0</v>
      </c>
      <c r="L63" s="1">
        <f t="shared" si="22"/>
        <v>0</v>
      </c>
      <c r="M63" s="1">
        <f t="shared" si="22"/>
        <v>0</v>
      </c>
      <c r="N63" s="1">
        <f t="shared" si="22"/>
        <v>0</v>
      </c>
      <c r="O63" s="1">
        <f t="shared" si="22"/>
        <v>0</v>
      </c>
      <c r="P63" s="1">
        <f t="shared" si="22"/>
        <v>0</v>
      </c>
      <c r="Q63" s="1">
        <f t="shared" si="22"/>
        <v>0</v>
      </c>
      <c r="R63" s="1">
        <f t="shared" si="22"/>
        <v>0</v>
      </c>
      <c r="S63" s="1">
        <f t="shared" si="22"/>
        <v>0</v>
      </c>
      <c r="T63" s="1">
        <f t="shared" si="22"/>
        <v>0</v>
      </c>
      <c r="U63" s="1">
        <f t="shared" si="22"/>
        <v>0</v>
      </c>
      <c r="V63" s="1">
        <f t="shared" si="22"/>
        <v>0</v>
      </c>
      <c r="W63" s="1">
        <f t="shared" si="22"/>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0.14452999999999783</v>
      </c>
      <c r="L64" s="1">
        <f>IF(L$56&lt;=$C$6,0,HLOOKUP(L$56,'Input data'!$C$9:$BB$26,12,FALSE)-HLOOKUP($C$6,'Input data'!$C$9:$BB$26,12,FALSE))</f>
        <v>0.32941999999999894</v>
      </c>
      <c r="M64" s="1">
        <f>IF(M$56&lt;=$C$6,0,HLOOKUP(M$56,'Input data'!$C$9:$BB$26,12,FALSE)-HLOOKUP($C$6,'Input data'!$C$9:$BB$26,12,FALSE))</f>
        <v>0.51686000000000121</v>
      </c>
      <c r="N64" s="1">
        <f>IF(N$56&lt;=$C$6,0,HLOOKUP(N$56,'Input data'!$C$9:$BB$26,12,FALSE)-HLOOKUP($C$6,'Input data'!$C$9:$BB$26,12,FALSE))</f>
        <v>0.71439000000000163</v>
      </c>
      <c r="O64" s="1">
        <f>IF(O$56&lt;=$C$6,0,HLOOKUP(O$56,'Input data'!$C$9:$BB$26,12,FALSE)-HLOOKUP($C$6,'Input data'!$C$9:$BB$26,12,FALSE))</f>
        <v>0.90752999999999773</v>
      </c>
      <c r="P64" s="1">
        <f>IF(P$56&lt;=$C$6,0,HLOOKUP(P$56,'Input data'!$C$9:$BB$26,12,FALSE)-HLOOKUP($C$6,'Input data'!$C$9:$BB$26,12,FALSE))</f>
        <v>1.10229</v>
      </c>
      <c r="Q64" s="1">
        <f>IF(Q$56&lt;=$C$6,0,HLOOKUP(Q$56,'Input data'!$C$9:$BB$26,12,FALSE)-HLOOKUP($C$6,'Input data'!$C$9:$BB$26,12,FALSE))</f>
        <v>1.275109999999998</v>
      </c>
      <c r="R64" s="1">
        <f>IF(R$56&lt;=$C$6,0,HLOOKUP(R$56,'Input data'!$C$9:$BB$26,12,FALSE)-HLOOKUP($C$6,'Input data'!$C$9:$BB$26,12,FALSE))</f>
        <v>1.4401500000000027</v>
      </c>
      <c r="S64" s="1">
        <f>IF(S$56&lt;=$C$6,0,HLOOKUP(S$56,'Input data'!$C$9:$BB$26,12,FALSE)-HLOOKUP($C$6,'Input data'!$C$9:$BB$26,12,FALSE))</f>
        <v>1.6053599999999975</v>
      </c>
      <c r="T64" s="1">
        <f>IF(T$56&lt;=$C$6,0,HLOOKUP(T$56,'Input data'!$C$9:$BB$26,12,FALSE)-HLOOKUP($C$6,'Input data'!$C$9:$BB$26,12,FALSE))</f>
        <v>1.7680800000000012</v>
      </c>
      <c r="U64" s="1">
        <f>IF(U$56&lt;=$C$6,0,HLOOKUP(U$56,'Input data'!$C$9:$BB$26,12,FALSE)-HLOOKUP($C$6,'Input data'!$C$9:$BB$26,12,FALSE))</f>
        <v>1.9199100000000016</v>
      </c>
      <c r="V64" s="1">
        <f>IF(V$56&lt;=$C$6,0,HLOOKUP(V$56,'Input data'!$C$9:$BB$26,12,FALSE)-HLOOKUP($C$6,'Input data'!$C$9:$BB$26,12,FALSE))</f>
        <v>2.063089999999999</v>
      </c>
      <c r="W64" s="1">
        <f>IF(W$56&lt;=$C$6,0,HLOOKUP(W$56,'Input data'!$C$9:$BB$26,12,FALSE)-HLOOKUP($C$6,'Input data'!$C$9:$BB$26,12,FALSE))</f>
        <v>2.2168799999999997</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1.89499999999998E-3</v>
      </c>
      <c r="L65" s="1">
        <f>IF(L$56&lt;=$C$6,0,-HLOOKUP(L$56,'Input data'!$C$9:$BB$26,18,FALSE)+HLOOKUP($C$6,'Input data'!$C$9:$BB$26,18,FALSE))</f>
        <v>3.7889999999998203E-3</v>
      </c>
      <c r="M65" s="1">
        <f>IF(M$56&lt;=$C$6,0,-HLOOKUP(M$56,'Input data'!$C$9:$BB$26,18,FALSE)+HLOOKUP($C$6,'Input data'!$C$9:$BB$26,18,FALSE))</f>
        <v>5.6829999999998826E-3</v>
      </c>
      <c r="N65" s="1">
        <f>IF(N$56&lt;=$C$6,0,-HLOOKUP(N$56,'Input data'!$C$9:$BB$26,18,FALSE)+HLOOKUP($C$6,'Input data'!$C$9:$BB$26,18,FALSE))</f>
        <v>7.5779999999998626E-3</v>
      </c>
      <c r="O65" s="1">
        <f>IF(O$56&lt;=$C$6,0,-HLOOKUP(O$56,'Input data'!$C$9:$BB$26,18,FALSE)+HLOOKUP($C$6,'Input data'!$C$9:$BB$26,18,FALSE))</f>
        <v>9.4719999999999249E-3</v>
      </c>
      <c r="P65" s="1">
        <f>IF(P$56&lt;=$C$6,0,-HLOOKUP(P$56,'Input data'!$C$9:$BB$26,18,FALSE)+HLOOKUP($C$6,'Input data'!$C$9:$BB$26,18,FALSE))</f>
        <v>1.1365999999999987E-2</v>
      </c>
      <c r="Q65" s="1">
        <f>IF(Q$56&lt;=$C$6,0,-HLOOKUP(Q$56,'Input data'!$C$9:$BB$26,18,FALSE)+HLOOKUP($C$6,'Input data'!$C$9:$BB$26,18,FALSE))</f>
        <v>1.3260999999999967E-2</v>
      </c>
      <c r="R65" s="1">
        <f>IF(R$56&lt;=$C$6,0,-HLOOKUP(R$56,'Input data'!$C$9:$BB$26,18,FALSE)+HLOOKUP($C$6,'Input data'!$C$9:$BB$26,18,FALSE))</f>
        <v>1.5154999999999808E-2</v>
      </c>
      <c r="S65" s="1">
        <f>IF(S$56&lt;=$C$6,0,-HLOOKUP(S$56,'Input data'!$C$9:$BB$26,18,FALSE)+HLOOKUP($C$6,'Input data'!$C$9:$BB$26,18,FALSE))</f>
        <v>1.704899999999987E-2</v>
      </c>
      <c r="T65" s="1">
        <f>IF(T$56&lt;=$C$6,0,-HLOOKUP(T$56,'Input data'!$C$9:$BB$26,18,FALSE)+HLOOKUP($C$6,'Input data'!$C$9:$BB$26,18,FALSE))</f>
        <v>1.894399999999985E-2</v>
      </c>
      <c r="U65" s="182">
        <f>IF(U$56&lt;=$C$6,0,-HLOOKUP(U$56,'Input data'!$C$9:$BB$26,18,FALSE)+HLOOKUP($C$6,'Input data'!$C$9:$BB$26,18,FALSE))</f>
        <v>2.0837999999999912E-2</v>
      </c>
      <c r="V65" s="182">
        <f>IF(V$56&lt;=$C$6,0,-HLOOKUP(V$56,'Input data'!$C$9:$BB$26,18,FALSE)+HLOOKUP($C$6,'Input data'!$C$9:$BB$26,18,FALSE))</f>
        <v>2.2731999999999974E-2</v>
      </c>
      <c r="W65" s="182">
        <f>IF(W$56&lt;=$C$6,0,-HLOOKUP(W$56,'Input data'!$C$9:$BB$26,18,FALSE)+HLOOKUP($C$6,'Input data'!$C$9:$BB$26,18,FALSE))</f>
        <v>2.4626999999999954E-2</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3">
        <v>0</v>
      </c>
      <c r="V66" s="183">
        <v>0</v>
      </c>
      <c r="W66" s="183">
        <v>0</v>
      </c>
    </row>
    <row r="67" spans="2:23" outlineLevel="1" x14ac:dyDescent="0.2">
      <c r="B67" s="65" t="s">
        <v>86</v>
      </c>
      <c r="C67" s="34"/>
      <c r="D67" s="34">
        <f t="shared" ref="D67:O67" si="23">SUM(D68:D71)</f>
        <v>-1.472472</v>
      </c>
      <c r="E67" s="34">
        <f t="shared" si="23"/>
        <v>-0.25303399999999998</v>
      </c>
      <c r="F67" s="34">
        <f t="shared" si="23"/>
        <v>-0.96220119999999998</v>
      </c>
      <c r="G67" s="34">
        <f t="shared" si="23"/>
        <v>-0.74892570000000169</v>
      </c>
      <c r="H67" s="34">
        <f t="shared" si="23"/>
        <v>-0.99418816911915986</v>
      </c>
      <c r="I67" s="34">
        <f t="shared" si="23"/>
        <v>-1.0923040615641244</v>
      </c>
      <c r="J67" s="34">
        <f t="shared" si="23"/>
        <v>-0.89679097246174799</v>
      </c>
      <c r="K67" s="34">
        <f t="shared" si="23"/>
        <v>-0.66638366583989306</v>
      </c>
      <c r="L67" s="34">
        <f t="shared" si="23"/>
        <v>-0.62766110241471129</v>
      </c>
      <c r="M67" s="34">
        <f t="shared" si="23"/>
        <v>-0.58505942421592416</v>
      </c>
      <c r="N67" s="34">
        <f t="shared" si="23"/>
        <v>-0.54193742533328915</v>
      </c>
      <c r="O67" s="34">
        <f t="shared" si="23"/>
        <v>-0.51927030105381444</v>
      </c>
      <c r="P67" s="34">
        <f t="shared" ref="P67:T67" si="24">SUM(P68:P71)</f>
        <v>-0.50224832367142547</v>
      </c>
      <c r="Q67" s="34">
        <f t="shared" si="24"/>
        <v>-0.48703550415379671</v>
      </c>
      <c r="R67" s="34">
        <f t="shared" si="24"/>
        <v>-0.47334828248175309</v>
      </c>
      <c r="S67" s="34">
        <f t="shared" si="24"/>
        <v>-0.47353399462547052</v>
      </c>
      <c r="T67" s="34">
        <f t="shared" si="24"/>
        <v>-0.48392032356852333</v>
      </c>
      <c r="U67" s="34">
        <f t="shared" ref="U67:W67" si="25">SUM(U68:U71)</f>
        <v>-0.50215185637438475</v>
      </c>
      <c r="V67" s="34">
        <f t="shared" si="25"/>
        <v>-0.51626923997733654</v>
      </c>
      <c r="W67" s="34">
        <f t="shared" si="25"/>
        <v>-0.48649713811646789</v>
      </c>
    </row>
    <row r="68" spans="2:23" outlineLevel="1" x14ac:dyDescent="0.2">
      <c r="B68" s="64" t="s">
        <v>87</v>
      </c>
      <c r="C68" s="23"/>
      <c r="D68" s="23">
        <f t="shared" ref="D68:E68" si="26">C57*D36/100*(1/(1+D33/100))</f>
        <v>0.16097200349142848</v>
      </c>
      <c r="E68" s="23">
        <f t="shared" si="26"/>
        <v>0.30227085528012698</v>
      </c>
      <c r="F68" s="23">
        <f>E57*F36/100*(1/(1+F33/100))</f>
        <v>0.37175611299860128</v>
      </c>
      <c r="G68" s="23">
        <f>F57*G36/100*(1/(1+G33/100))</f>
        <v>0.43438097300347256</v>
      </c>
      <c r="H68" s="23">
        <f t="shared" ref="H68:W68" si="27">G57*H36/100*(1/(1+H33/100))</f>
        <v>0.49066782201314391</v>
      </c>
      <c r="I68" s="23">
        <f t="shared" si="27"/>
        <v>0.53271621434514749</v>
      </c>
      <c r="J68" s="23">
        <f>I57*J36/100*(1/(1+J33/100))</f>
        <v>0.56010298510869005</v>
      </c>
      <c r="K68" s="23">
        <f t="shared" si="27"/>
        <v>0.58165511646897172</v>
      </c>
      <c r="L68" s="23">
        <f>K57*L36/100*(1/(1+L33/100))</f>
        <v>0.60591776975785638</v>
      </c>
      <c r="M68" s="23">
        <f t="shared" si="27"/>
        <v>0.63302381061297575</v>
      </c>
      <c r="N68" s="23">
        <f t="shared" si="27"/>
        <v>0.66273675120931497</v>
      </c>
      <c r="O68" s="23">
        <f t="shared" si="27"/>
        <v>0.69465607338507684</v>
      </c>
      <c r="P68" s="23">
        <f t="shared" si="27"/>
        <v>0.727975712934532</v>
      </c>
      <c r="Q68" s="23">
        <f t="shared" si="27"/>
        <v>0.76100099768415097</v>
      </c>
      <c r="R68" s="23">
        <f t="shared" si="27"/>
        <v>0.79357787638551303</v>
      </c>
      <c r="S68" s="23">
        <f t="shared" si="27"/>
        <v>0.82549152060968245</v>
      </c>
      <c r="T68" s="23">
        <f t="shared" si="27"/>
        <v>0.85636020829949844</v>
      </c>
      <c r="U68" s="23">
        <f t="shared" si="27"/>
        <v>0.88632894560290221</v>
      </c>
      <c r="V68" s="23">
        <f t="shared" si="27"/>
        <v>0.9153620117138852</v>
      </c>
      <c r="W68" s="23">
        <f t="shared" si="27"/>
        <v>0.94444748997896233</v>
      </c>
    </row>
    <row r="69" spans="2:23" outlineLevel="1" x14ac:dyDescent="0.2">
      <c r="B69" s="64" t="s">
        <v>88</v>
      </c>
      <c r="C69" s="23"/>
      <c r="D69" s="23">
        <f t="shared" ref="D69:W69" si="28">-C57*(D24/100)*(1/(1+D33/100))</f>
        <v>-0.31565593142756088</v>
      </c>
      <c r="E69" s="23">
        <f t="shared" si="28"/>
        <v>0.26492764582387623</v>
      </c>
      <c r="F69" s="23">
        <f t="shared" si="28"/>
        <v>-0.34983820394063647</v>
      </c>
      <c r="G69" s="23">
        <f t="shared" si="28"/>
        <v>-0.51395157822552662</v>
      </c>
      <c r="H69" s="23">
        <f t="shared" si="28"/>
        <v>-0.77648840172369926</v>
      </c>
      <c r="I69" s="23">
        <f t="shared" si="28"/>
        <v>-0.89619534696640146</v>
      </c>
      <c r="J69" s="23">
        <f t="shared" si="28"/>
        <v>-0.72726907215830927</v>
      </c>
      <c r="K69" s="23">
        <f t="shared" si="28"/>
        <v>-0.52295445628606185</v>
      </c>
      <c r="L69" s="23">
        <f t="shared" si="28"/>
        <v>-0.50696519070327761</v>
      </c>
      <c r="M69" s="23">
        <f t="shared" si="28"/>
        <v>-0.48841193506550679</v>
      </c>
      <c r="N69" s="23">
        <f t="shared" si="28"/>
        <v>-0.47036761469033378</v>
      </c>
      <c r="O69" s="23">
        <f t="shared" si="28"/>
        <v>-0.47317869729879281</v>
      </c>
      <c r="P69" s="23">
        <f t="shared" si="28"/>
        <v>-0.49038778827092649</v>
      </c>
      <c r="Q69" s="23">
        <f t="shared" si="28"/>
        <v>-0.50841401148644516</v>
      </c>
      <c r="R69" s="23">
        <f t="shared" si="28"/>
        <v>-0.52711275910427913</v>
      </c>
      <c r="S69" s="23">
        <f t="shared" si="28"/>
        <v>-0.55867096802256355</v>
      </c>
      <c r="T69" s="23">
        <f t="shared" si="28"/>
        <v>-0.59953686121478988</v>
      </c>
      <c r="U69" s="23">
        <f t="shared" si="28"/>
        <v>-0.64754173047684882</v>
      </c>
      <c r="V69" s="23">
        <f t="shared" si="28"/>
        <v>-0.6910280028757092</v>
      </c>
      <c r="W69" s="23">
        <f t="shared" si="28"/>
        <v>-0.69135739637427007</v>
      </c>
    </row>
    <row r="70" spans="2:23" outlineLevel="1" x14ac:dyDescent="0.2">
      <c r="B70" s="64" t="s">
        <v>89</v>
      </c>
      <c r="C70" s="23"/>
      <c r="D70" s="23">
        <f t="shared" ref="D70:W70" si="29">-C57*D42/100*(1/(1+D42/100))</f>
        <v>-1.3177875342377352</v>
      </c>
      <c r="E70" s="23">
        <f t="shared" si="29"/>
        <v>-0.82023243997976503</v>
      </c>
      <c r="F70" s="23">
        <f t="shared" si="29"/>
        <v>-0.98411909204355408</v>
      </c>
      <c r="G70" s="23">
        <f t="shared" si="29"/>
        <v>-0.6693548341260056</v>
      </c>
      <c r="H70" s="23">
        <f t="shared" si="29"/>
        <v>-0.70836758940860445</v>
      </c>
      <c r="I70" s="23">
        <f t="shared" si="29"/>
        <v>-0.72882492894287032</v>
      </c>
      <c r="J70" s="23">
        <f t="shared" si="29"/>
        <v>-0.72962488541212878</v>
      </c>
      <c r="K70" s="23">
        <f t="shared" si="29"/>
        <v>-0.72508432602280293</v>
      </c>
      <c r="L70" s="23">
        <f t="shared" si="29"/>
        <v>-0.72661368146929006</v>
      </c>
      <c r="M70" s="23">
        <f t="shared" si="29"/>
        <v>-0.72967129976339318</v>
      </c>
      <c r="N70" s="23">
        <f t="shared" si="29"/>
        <v>-0.73430656185227028</v>
      </c>
      <c r="O70" s="23">
        <f t="shared" si="29"/>
        <v>-0.74074767714009848</v>
      </c>
      <c r="P70" s="23">
        <f t="shared" si="29"/>
        <v>-0.73983624833503092</v>
      </c>
      <c r="Q70" s="23">
        <f t="shared" si="29"/>
        <v>-0.73962249035150252</v>
      </c>
      <c r="R70" s="23">
        <f t="shared" si="29"/>
        <v>-0.73981339976298699</v>
      </c>
      <c r="S70" s="23">
        <f t="shared" si="29"/>
        <v>-0.74035454721258942</v>
      </c>
      <c r="T70" s="23">
        <f t="shared" si="29"/>
        <v>-0.74074367065323188</v>
      </c>
      <c r="U70" s="23">
        <f t="shared" si="29"/>
        <v>-0.74093907150043814</v>
      </c>
      <c r="V70" s="23">
        <f t="shared" si="29"/>
        <v>-0.74060324881551254</v>
      </c>
      <c r="W70" s="23">
        <f t="shared" si="29"/>
        <v>-0.73958723172116014</v>
      </c>
    </row>
    <row r="71" spans="2:23" outlineLevel="1" x14ac:dyDescent="0.2">
      <c r="B71" s="64" t="s">
        <v>90</v>
      </c>
      <c r="C71" s="35"/>
      <c r="D71" s="35">
        <f>'Baseline NFPC'!D70</f>
        <v>-5.3782613229635956E-7</v>
      </c>
      <c r="E71" s="35">
        <f>'Baseline NFPC'!E70</f>
        <v>-6.1124238226462069E-8</v>
      </c>
      <c r="F71" s="35">
        <f>'Baseline NFPC'!F70</f>
        <v>-1.7014410769178312E-8</v>
      </c>
      <c r="G71" s="35">
        <f>'Baseline NFPC'!G70</f>
        <v>-2.606519420300657E-7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1.5134049999999999</v>
      </c>
      <c r="E72" s="36">
        <f>'Input data'!E16</f>
        <v>0.23943610000000001</v>
      </c>
      <c r="F72" s="36">
        <f>'Input data'!F16</f>
        <v>1.036694</v>
      </c>
      <c r="G72" s="36">
        <f>'Input data'!G16</f>
        <v>1.06619</v>
      </c>
      <c r="H72" s="36">
        <f>'Input data'!H16</f>
        <v>1.0058400000000001</v>
      </c>
      <c r="I72" s="36">
        <f>'Input data'!I16</f>
        <v>0.90413500000000002</v>
      </c>
      <c r="J72" s="36">
        <f>'Input data'!J16</f>
        <v>0.79055200000000003</v>
      </c>
      <c r="K72" s="36">
        <f>'Input data'!K16</f>
        <v>0.65862969999999998</v>
      </c>
      <c r="L72" s="36">
        <f>'Input data'!L16</f>
        <v>0.49461250000000001</v>
      </c>
      <c r="M72" s="36">
        <f>'Input data'!M16</f>
        <v>0.32602239999999999</v>
      </c>
      <c r="N72" s="36">
        <f>'Input data'!N16</f>
        <v>0.15586639999999999</v>
      </c>
      <c r="O72" s="36">
        <f>'Input data'!O16</f>
        <v>-2.03857E-2</v>
      </c>
      <c r="P72" s="36">
        <f>'Input data'!P16</f>
        <v>-0.19921710000000001</v>
      </c>
      <c r="Q72" s="36">
        <f>'Input data'!Q16</f>
        <v>-0.3653266</v>
      </c>
      <c r="R72" s="36">
        <f>'Input data'!R16</f>
        <v>-0.52362160000000002</v>
      </c>
      <c r="S72" s="36">
        <f>'Input data'!S16</f>
        <v>-0.68878539999999999</v>
      </c>
      <c r="T72" s="36">
        <f>'Input data'!T16</f>
        <v>-0.84298320000000004</v>
      </c>
      <c r="U72" s="36">
        <f>'Input data'!U16</f>
        <v>-0.99308909999999995</v>
      </c>
      <c r="V72" s="36">
        <f>'Input data'!V16</f>
        <v>-1.145699</v>
      </c>
      <c r="W72" s="36">
        <f>'Input data'!W16</f>
        <v>-1.3113919999999999</v>
      </c>
    </row>
    <row r="73" spans="2:23" outlineLevel="1" x14ac:dyDescent="0.2">
      <c r="B73" s="64" t="s">
        <v>92</v>
      </c>
      <c r="C73" s="23"/>
      <c r="D73" s="23">
        <f t="shared" ref="D73:W73" si="30">D15</f>
        <v>1.5134049999999999</v>
      </c>
      <c r="E73" s="23">
        <f t="shared" si="30"/>
        <v>0.23943519999999999</v>
      </c>
      <c r="F73" s="23">
        <f t="shared" si="30"/>
        <v>1.0366949999999999</v>
      </c>
      <c r="G73" s="23">
        <f t="shared" si="30"/>
        <v>1.0661879999999999</v>
      </c>
      <c r="H73" s="23">
        <f t="shared" si="30"/>
        <v>1.0058400000000001</v>
      </c>
      <c r="I73" s="23">
        <f t="shared" si="30"/>
        <v>0.90413500000000002</v>
      </c>
      <c r="J73" s="23">
        <f t="shared" si="30"/>
        <v>0.79055200000000003</v>
      </c>
      <c r="K73" s="23">
        <f t="shared" si="30"/>
        <v>0.65862969999999998</v>
      </c>
      <c r="L73" s="23">
        <f t="shared" si="30"/>
        <v>0.49461250000000001</v>
      </c>
      <c r="M73" s="23">
        <f t="shared" si="30"/>
        <v>0.32602239999999999</v>
      </c>
      <c r="N73" s="23">
        <f t="shared" si="30"/>
        <v>0.15586639999999999</v>
      </c>
      <c r="O73" s="23">
        <f t="shared" si="30"/>
        <v>-2.03857E-2</v>
      </c>
      <c r="P73" s="23">
        <f t="shared" si="30"/>
        <v>-0.19921710000000001</v>
      </c>
      <c r="Q73" s="23">
        <f t="shared" si="30"/>
        <v>-0.3653266</v>
      </c>
      <c r="R73" s="23">
        <f t="shared" si="30"/>
        <v>-0.52362160000000002</v>
      </c>
      <c r="S73" s="23">
        <f t="shared" si="30"/>
        <v>-0.68878539999999999</v>
      </c>
      <c r="T73" s="23">
        <f t="shared" si="30"/>
        <v>-0.84298320000000004</v>
      </c>
      <c r="U73" s="23">
        <f t="shared" si="30"/>
        <v>-0.99308909999999995</v>
      </c>
      <c r="V73" s="23">
        <f t="shared" si="30"/>
        <v>-1.145699</v>
      </c>
      <c r="W73" s="23">
        <f t="shared" si="30"/>
        <v>-1.3113919999999999</v>
      </c>
    </row>
    <row r="74" spans="2:23" outlineLevel="1" x14ac:dyDescent="0.2">
      <c r="B74" s="70" t="s">
        <v>93</v>
      </c>
      <c r="C74" s="35"/>
      <c r="D74" s="35">
        <f>+D72-D73</f>
        <v>0</v>
      </c>
      <c r="E74" s="35">
        <f t="shared" ref="E74:T74" si="31">+E72-E73</f>
        <v>9.000000000258801E-7</v>
      </c>
      <c r="F74" s="35">
        <f t="shared" si="31"/>
        <v>-9.9999999991773336E-7</v>
      </c>
      <c r="G74" s="35">
        <f t="shared" si="31"/>
        <v>2.0000000000575113E-6</v>
      </c>
      <c r="H74" s="35">
        <f t="shared" si="31"/>
        <v>0</v>
      </c>
      <c r="I74" s="35">
        <f t="shared" si="31"/>
        <v>0</v>
      </c>
      <c r="J74" s="35">
        <f t="shared" si="31"/>
        <v>0</v>
      </c>
      <c r="K74" s="35">
        <f t="shared" si="31"/>
        <v>0</v>
      </c>
      <c r="L74" s="35">
        <f t="shared" si="31"/>
        <v>0</v>
      </c>
      <c r="M74" s="35">
        <f t="shared" si="31"/>
        <v>0</v>
      </c>
      <c r="N74" s="35">
        <f t="shared" si="31"/>
        <v>0</v>
      </c>
      <c r="O74" s="35">
        <f t="shared" si="31"/>
        <v>0</v>
      </c>
      <c r="P74" s="35">
        <f t="shared" si="31"/>
        <v>0</v>
      </c>
      <c r="Q74" s="35">
        <f t="shared" si="31"/>
        <v>0</v>
      </c>
      <c r="R74" s="35">
        <f t="shared" si="31"/>
        <v>0</v>
      </c>
      <c r="S74" s="35">
        <f t="shared" si="31"/>
        <v>0</v>
      </c>
      <c r="T74" s="35">
        <f t="shared" si="31"/>
        <v>0</v>
      </c>
      <c r="U74" s="35">
        <f t="shared" ref="U74:W74" si="32">+U72-U73</f>
        <v>0</v>
      </c>
      <c r="V74" s="35">
        <f t="shared" si="32"/>
        <v>0</v>
      </c>
      <c r="W74" s="35">
        <f t="shared" si="32"/>
        <v>0</v>
      </c>
    </row>
    <row r="75" spans="2:23" ht="10.5" customHeight="1" outlineLevel="1" x14ac:dyDescent="0.2"/>
    <row r="76" spans="2:23" ht="10.5" customHeight="1" outlineLevel="1" x14ac:dyDescent="0.2">
      <c r="B76" s="71" t="s">
        <v>94</v>
      </c>
    </row>
    <row r="77" spans="2:23" x14ac:dyDescent="0.2">
      <c r="B77" s="62" t="s">
        <v>19</v>
      </c>
      <c r="C77" s="62"/>
      <c r="D77" s="63">
        <f>D59-D68</f>
        <v>-0.34970056116353021</v>
      </c>
      <c r="E77" s="63">
        <f t="shared" ref="E77:T77" si="33">E59-E68</f>
        <v>-1.251991028277976</v>
      </c>
      <c r="F77" s="63">
        <f t="shared" si="33"/>
        <v>-1.6989409359348564</v>
      </c>
      <c r="G77" s="63">
        <f>G59-G68</f>
        <v>-1.6746365729548063</v>
      </c>
      <c r="H77" s="63">
        <f t="shared" si="33"/>
        <v>-1.284940769026734</v>
      </c>
      <c r="I77" s="63">
        <f t="shared" si="33"/>
        <v>-0.73233768093744733</v>
      </c>
      <c r="J77" s="63">
        <f t="shared" si="33"/>
        <v>-0.4623988939046576</v>
      </c>
      <c r="K77" s="63">
        <f t="shared" si="33"/>
        <v>-0.63037829290354808</v>
      </c>
      <c r="L77" s="63">
        <f t="shared" si="33"/>
        <v>-0.84142539999052479</v>
      </c>
      <c r="M77" s="63">
        <f t="shared" si="33"/>
        <v>-1.0578668032226188</v>
      </c>
      <c r="N77" s="63">
        <f t="shared" si="33"/>
        <v>-1.2870042893599658</v>
      </c>
      <c r="O77" s="63">
        <f t="shared" si="33"/>
        <v>-1.5139567025868201</v>
      </c>
      <c r="P77" s="63">
        <f t="shared" si="33"/>
        <v>-1.7439307964116333</v>
      </c>
      <c r="Q77" s="63">
        <f t="shared" si="33"/>
        <v>-1.9516719893140924</v>
      </c>
      <c r="R77" s="63">
        <f t="shared" si="33"/>
        <v>-2.1511824141378186</v>
      </c>
      <c r="S77" s="63">
        <f t="shared" si="33"/>
        <v>-2.3502014188425147</v>
      </c>
      <c r="T77" s="63">
        <f t="shared" si="33"/>
        <v>-2.5456860124901377</v>
      </c>
      <c r="U77" s="63">
        <f t="shared" ref="U77:W77" si="34">U59-U68</f>
        <v>-2.7293782974233465</v>
      </c>
      <c r="V77" s="63">
        <f t="shared" si="34"/>
        <v>-2.9034835561847303</v>
      </c>
      <c r="W77" s="63">
        <f t="shared" si="34"/>
        <v>-3.0882531305750831</v>
      </c>
    </row>
    <row r="78" spans="2:23" x14ac:dyDescent="0.2">
      <c r="B78" s="15" t="s">
        <v>20</v>
      </c>
      <c r="D78" s="23">
        <f>D60-D68-D64-D65-D66</f>
        <v>-0.4390721034914285</v>
      </c>
      <c r="E78" s="23">
        <f t="shared" ref="E78:W78" si="35">E60-E68-E64-E65-E66</f>
        <v>-1.2734055280126999E-2</v>
      </c>
      <c r="F78" s="23">
        <f t="shared" si="35"/>
        <v>-0.2740530129986013</v>
      </c>
      <c r="G78" s="23">
        <f t="shared" si="35"/>
        <v>-0.33667787300347257</v>
      </c>
      <c r="H78" s="23">
        <f t="shared" si="35"/>
        <v>-0.39296472201314392</v>
      </c>
      <c r="I78" s="23">
        <f t="shared" si="35"/>
        <v>-0.4350131143451475</v>
      </c>
      <c r="J78" s="23">
        <f t="shared" si="35"/>
        <v>-0.46239988510869007</v>
      </c>
      <c r="K78" s="23">
        <f t="shared" si="35"/>
        <v>-0.63037701646896949</v>
      </c>
      <c r="L78" s="23">
        <f t="shared" si="35"/>
        <v>-0.8414236697578551</v>
      </c>
      <c r="M78" s="23">
        <f t="shared" si="35"/>
        <v>-1.0578637106129767</v>
      </c>
      <c r="N78" s="23">
        <f t="shared" si="35"/>
        <v>-1.2870016512093165</v>
      </c>
      <c r="O78" s="23">
        <f t="shared" si="35"/>
        <v>-1.5139549733850746</v>
      </c>
      <c r="P78" s="23">
        <f t="shared" si="35"/>
        <v>-1.7439286129345319</v>
      </c>
      <c r="Q78" s="23">
        <f t="shared" si="35"/>
        <v>-1.951668897684149</v>
      </c>
      <c r="R78" s="23">
        <f t="shared" si="35"/>
        <v>-2.1511797763855158</v>
      </c>
      <c r="S78" s="23">
        <f t="shared" si="35"/>
        <v>-2.3501974206096801</v>
      </c>
      <c r="T78" s="23">
        <f t="shared" si="35"/>
        <v>-2.5456811082994997</v>
      </c>
      <c r="U78" s="23">
        <f t="shared" si="35"/>
        <v>-2.7293738456029035</v>
      </c>
      <c r="V78" s="23">
        <f t="shared" si="35"/>
        <v>-2.903480911713884</v>
      </c>
      <c r="W78" s="23">
        <f t="shared" si="35"/>
        <v>-3.0882513899789616</v>
      </c>
    </row>
    <row r="79" spans="2:23" x14ac:dyDescent="0.2">
      <c r="B79" s="24" t="s">
        <v>95</v>
      </c>
      <c r="C79" s="24"/>
      <c r="D79" s="229">
        <f>'Input data'!D45</f>
        <v>11.704064728333291</v>
      </c>
      <c r="E79" s="229">
        <f>'Input data'!E45</f>
        <v>13.053490335238813</v>
      </c>
      <c r="F79" s="229">
        <f>'Input data'!F45</f>
        <v>6.8349944328923353</v>
      </c>
      <c r="G79" s="35">
        <f>'Input data'!G33+G42-(G$12-F$12)/'Input data'!$C$64*100</f>
        <v>4.3229220000000002</v>
      </c>
      <c r="H79" s="35">
        <f>'Input data'!H33+H42-(H$12-G$12)/'Input data'!$C$64*100</f>
        <v>4.3852308749999995</v>
      </c>
      <c r="I79" s="35">
        <f>'Input data'!I33+I42-(I$12-H$12)/'Input data'!$C$64*100</f>
        <v>4.4243257499999995</v>
      </c>
      <c r="J79" s="35">
        <f>'Input data'!J33+J42-(J$12-I$12)/'Input data'!$C$64*100</f>
        <v>4.4788796250000003</v>
      </c>
      <c r="K79" s="35">
        <f>'Input data'!K33+K42-(K$12-J$12)/'Input data'!$C$64*100</f>
        <v>4.4107104999999995</v>
      </c>
      <c r="L79" s="35">
        <f>'Input data'!L33+L42-(L$12-K$12)/'Input data'!$C$64*100</f>
        <v>4.3518553749999995</v>
      </c>
      <c r="M79" s="35">
        <f>'Input data'!M33+M42-(M$12-L$12)/'Input data'!$C$64*100</f>
        <v>4.2802652499999994</v>
      </c>
      <c r="N79" s="35">
        <f>'Input data'!N33+N42-(N$12-M$12)/'Input data'!$C$64*100</f>
        <v>4.2074871250000001</v>
      </c>
      <c r="O79" s="35">
        <f>'Input data'!O33+O42-(O$12-N$12)/'Input data'!$C$64*100</f>
        <v>4.2058729999999995</v>
      </c>
      <c r="P79" s="35">
        <f>'Input data'!P33+P42-(P$12-O$12)/'Input data'!$C$64*100</f>
        <v>4.2229279999999996</v>
      </c>
      <c r="Q79" s="35">
        <f>'Input data'!Q33+Q42-(Q$12-P$12)/'Input data'!$C$64*100</f>
        <v>4.2399839999999998</v>
      </c>
      <c r="R79" s="35">
        <f>'Input data'!R33+R42-(R$12-Q$12)/'Input data'!$C$64*100</f>
        <v>4.2570399999999999</v>
      </c>
      <c r="S79" s="35">
        <f>'Input data'!S33+S42-(S$12-R$12)/'Input data'!$C$64*100</f>
        <v>4.3157619999999994</v>
      </c>
      <c r="T79" s="35">
        <f>'Input data'!T33+T42-(T$12-S$12)/'Input data'!$C$64*100</f>
        <v>4.4039969999999995</v>
      </c>
      <c r="U79" s="35">
        <f>'Input data'!U33+U42-(U$12-T$12)/'Input data'!$C$64*100</f>
        <v>4.5137339999999995</v>
      </c>
      <c r="V79" s="35">
        <f>'Input data'!V33+V42-(V$12-U$12)/'Input data'!$C$64*100</f>
        <v>4.606662</v>
      </c>
      <c r="W79" s="35">
        <f>'Input data'!W33+W42-(W$12-V$12)/'Input data'!$C$64*100</f>
        <v>4.5565499999999997</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48">
        <f ca="1">AVERAGE(OFFSET($G$79,0,0,1,'Criteria results'!F5))</f>
        <v>4.4028395624999996</v>
      </c>
      <c r="E81" s="23"/>
      <c r="F81" s="23"/>
      <c r="G81" s="293"/>
      <c r="H81" s="293"/>
      <c r="I81" s="293"/>
      <c r="J81" s="293"/>
      <c r="K81" s="293"/>
      <c r="L81" s="293"/>
      <c r="M81" s="293"/>
      <c r="N81" s="293"/>
      <c r="O81" s="293"/>
      <c r="P81" s="293"/>
      <c r="Q81" s="293"/>
      <c r="R81" s="293"/>
      <c r="S81" s="293"/>
      <c r="T81" s="293"/>
      <c r="U81" s="23"/>
      <c r="V81" s="23"/>
      <c r="W81" s="23"/>
    </row>
    <row r="82" spans="2:23" x14ac:dyDescent="0.2">
      <c r="B82" s="62"/>
      <c r="C82" s="62"/>
      <c r="D82" s="63"/>
      <c r="E82" s="23"/>
      <c r="F82" s="23"/>
      <c r="G82" s="23"/>
      <c r="H82" s="23"/>
      <c r="I82" s="23"/>
      <c r="J82" s="23"/>
      <c r="K82" s="23"/>
      <c r="L82" s="23"/>
      <c r="M82" s="23"/>
      <c r="N82" s="23"/>
      <c r="O82" s="23"/>
      <c r="P82" s="23"/>
      <c r="Q82" s="23"/>
      <c r="R82" s="23"/>
      <c r="S82" s="23"/>
      <c r="T82" s="23"/>
      <c r="U82" s="23"/>
      <c r="V82" s="23"/>
      <c r="W82" s="23"/>
    </row>
    <row r="83" spans="2:23" s="72" customFormat="1" ht="12.75" outlineLevel="1" x14ac:dyDescent="0.2">
      <c r="B83" s="73" t="s">
        <v>96</v>
      </c>
      <c r="C83" s="74"/>
      <c r="E83" s="75"/>
      <c r="F83" s="74"/>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97</v>
      </c>
      <c r="D85" s="18">
        <f t="shared" ref="D85:W85" si="36">IF((D90-C90*D43/((1+D24/100)*(1+D42/100)))&gt;0,1,0)</f>
        <v>1</v>
      </c>
      <c r="E85" s="18">
        <f t="shared" si="36"/>
        <v>1</v>
      </c>
      <c r="F85" s="18">
        <f t="shared" si="36"/>
        <v>1</v>
      </c>
      <c r="G85" s="18">
        <f t="shared" si="36"/>
        <v>1</v>
      </c>
      <c r="H85" s="18">
        <f t="shared" si="36"/>
        <v>1</v>
      </c>
      <c r="I85" s="18">
        <f t="shared" si="36"/>
        <v>1</v>
      </c>
      <c r="J85" s="18">
        <f t="shared" si="36"/>
        <v>1</v>
      </c>
      <c r="K85" s="18">
        <f t="shared" si="36"/>
        <v>1</v>
      </c>
      <c r="L85" s="18">
        <f t="shared" si="36"/>
        <v>1</v>
      </c>
      <c r="M85" s="18">
        <f t="shared" si="36"/>
        <v>1</v>
      </c>
      <c r="N85" s="18">
        <f t="shared" si="36"/>
        <v>1</v>
      </c>
      <c r="O85" s="18">
        <f t="shared" si="36"/>
        <v>1</v>
      </c>
      <c r="P85" s="18">
        <f t="shared" si="36"/>
        <v>1</v>
      </c>
      <c r="Q85" s="18">
        <f t="shared" si="36"/>
        <v>1</v>
      </c>
      <c r="R85" s="18">
        <f t="shared" si="36"/>
        <v>1</v>
      </c>
      <c r="S85" s="18">
        <f t="shared" si="36"/>
        <v>1</v>
      </c>
      <c r="T85" s="18">
        <f t="shared" si="36"/>
        <v>1</v>
      </c>
      <c r="U85" s="18">
        <f t="shared" si="36"/>
        <v>1</v>
      </c>
      <c r="V85" s="18">
        <f t="shared" si="36"/>
        <v>1</v>
      </c>
      <c r="W85" s="18">
        <f t="shared" si="36"/>
        <v>1</v>
      </c>
    </row>
    <row r="86" spans="2:23" x14ac:dyDescent="0.2">
      <c r="B86" s="15" t="s">
        <v>98</v>
      </c>
      <c r="D86" s="18">
        <f t="shared" ref="D86:W86" si="37">IF(AND(D85=0,ABS(D90-C90*D43/((1+D24/100)*(1+D42/100)))&lt;((C96*C90*D43/((1+D24/100)*(1+D42/100))+(D39*C90*C97*D43/((1+D24/100)*(1+D42/100)))))),1,0)</f>
        <v>0</v>
      </c>
      <c r="E86" s="18">
        <f t="shared" si="37"/>
        <v>0</v>
      </c>
      <c r="F86" s="18">
        <f t="shared" si="37"/>
        <v>0</v>
      </c>
      <c r="G86" s="18">
        <f t="shared" si="37"/>
        <v>0</v>
      </c>
      <c r="H86" s="18">
        <f t="shared" si="37"/>
        <v>0</v>
      </c>
      <c r="I86" s="18">
        <f t="shared" si="37"/>
        <v>0</v>
      </c>
      <c r="J86" s="18">
        <f t="shared" si="37"/>
        <v>0</v>
      </c>
      <c r="K86" s="18">
        <f t="shared" si="37"/>
        <v>0</v>
      </c>
      <c r="L86" s="18">
        <f t="shared" si="37"/>
        <v>0</v>
      </c>
      <c r="M86" s="18">
        <f t="shared" si="37"/>
        <v>0</v>
      </c>
      <c r="N86" s="18">
        <f t="shared" si="37"/>
        <v>0</v>
      </c>
      <c r="O86" s="18">
        <f t="shared" si="37"/>
        <v>0</v>
      </c>
      <c r="P86" s="18">
        <f t="shared" si="37"/>
        <v>0</v>
      </c>
      <c r="Q86" s="18">
        <f t="shared" si="37"/>
        <v>0</v>
      </c>
      <c r="R86" s="18">
        <f t="shared" si="37"/>
        <v>0</v>
      </c>
      <c r="S86" s="18">
        <f t="shared" si="37"/>
        <v>0</v>
      </c>
      <c r="T86" s="18">
        <f t="shared" si="37"/>
        <v>0</v>
      </c>
      <c r="U86" s="18">
        <f t="shared" si="37"/>
        <v>0</v>
      </c>
      <c r="V86" s="18">
        <f t="shared" si="37"/>
        <v>0</v>
      </c>
      <c r="W86" s="18">
        <f t="shared" si="37"/>
        <v>0</v>
      </c>
    </row>
    <row r="88" spans="2:23" x14ac:dyDescent="0.2">
      <c r="H88" s="27"/>
      <c r="I88" s="27"/>
      <c r="J88" s="27"/>
      <c r="K88" s="27"/>
      <c r="L88" s="27"/>
      <c r="M88" s="27"/>
      <c r="N88" s="27"/>
      <c r="O88" s="27"/>
      <c r="P88" s="27"/>
      <c r="Q88" s="27"/>
      <c r="R88" s="27"/>
      <c r="S88" s="27"/>
      <c r="T88" s="27"/>
    </row>
    <row r="89" spans="2:23" x14ac:dyDescent="0.2">
      <c r="B89" s="37"/>
      <c r="C89" s="67">
        <v>2021</v>
      </c>
      <c r="D89" s="67">
        <v>2022</v>
      </c>
      <c r="E89" s="67">
        <v>2023</v>
      </c>
      <c r="F89" s="67">
        <v>2024</v>
      </c>
      <c r="G89" s="67">
        <v>2025</v>
      </c>
      <c r="H89" s="67">
        <v>2026</v>
      </c>
      <c r="I89" s="67">
        <v>2027</v>
      </c>
      <c r="J89" s="67">
        <v>2028</v>
      </c>
      <c r="K89" s="67">
        <v>2029</v>
      </c>
      <c r="L89" s="67">
        <v>2030</v>
      </c>
      <c r="M89" s="67">
        <v>2031</v>
      </c>
      <c r="N89" s="67">
        <v>2032</v>
      </c>
      <c r="O89" s="67">
        <v>2033</v>
      </c>
      <c r="P89" s="67">
        <v>2034</v>
      </c>
      <c r="Q89" s="67">
        <v>2035</v>
      </c>
      <c r="R89" s="67">
        <v>2036</v>
      </c>
      <c r="S89" s="67">
        <v>2037</v>
      </c>
      <c r="T89" s="67">
        <v>2038</v>
      </c>
      <c r="U89" s="67">
        <v>2039</v>
      </c>
      <c r="V89" s="67">
        <v>2040</v>
      </c>
      <c r="W89" s="67">
        <v>2041</v>
      </c>
    </row>
    <row r="90" spans="2:23" x14ac:dyDescent="0.2">
      <c r="B90" s="84" t="s">
        <v>76</v>
      </c>
      <c r="C90" s="88">
        <f>C57</f>
        <v>24.503830000000001</v>
      </c>
      <c r="D90" s="88">
        <f>D57</f>
        <v>24.733491557672103</v>
      </c>
      <c r="E90" s="88">
        <f>E57</f>
        <v>25.669613830669952</v>
      </c>
      <c r="F90" s="88">
        <f>F57</f>
        <v>27.071291453606207</v>
      </c>
      <c r="G90" s="88">
        <f>G57</f>
        <v>28.628811353557538</v>
      </c>
      <c r="H90" s="88">
        <f t="shared" ref="H90:W90" si="38">G90*(1+H103/100)*H43-H60-H61+H62+H63+H64+H65+H66+H72</f>
        <v>29.434736131451963</v>
      </c>
      <c r="I90" s="88">
        <f t="shared" si="38"/>
        <v>29.44618853648014</v>
      </c>
      <c r="J90" s="88">
        <f t="shared" si="38"/>
        <v>29.242245472814361</v>
      </c>
      <c r="K90" s="88">
        <f t="shared" si="38"/>
        <v>29.283214683409046</v>
      </c>
      <c r="L90" s="88">
        <f t="shared" si="38"/>
        <v>29.385673711227003</v>
      </c>
      <c r="M90" s="88">
        <f t="shared" si="38"/>
        <v>29.551479679620726</v>
      </c>
      <c r="N90" s="88">
        <f t="shared" si="38"/>
        <v>29.789676192438094</v>
      </c>
      <c r="O90" s="88">
        <f t="shared" si="38"/>
        <v>30.069320820586015</v>
      </c>
      <c r="P90" s="88">
        <f t="shared" si="38"/>
        <v>30.383810480391684</v>
      </c>
      <c r="Q90" s="88">
        <f t="shared" si="38"/>
        <v>30.722119367867826</v>
      </c>
      <c r="R90" s="88">
        <f t="shared" si="38"/>
        <v>31.082754023138381</v>
      </c>
      <c r="S90" s="88">
        <f t="shared" si="38"/>
        <v>31.445144526745736</v>
      </c>
      <c r="T90" s="88">
        <f t="shared" si="38"/>
        <v>31.807566807367856</v>
      </c>
      <c r="U90" s="88">
        <f t="shared" si="38"/>
        <v>32.155375202813907</v>
      </c>
      <c r="V90" s="88">
        <f t="shared" si="38"/>
        <v>32.481528507307416</v>
      </c>
      <c r="W90" s="88">
        <f t="shared" si="38"/>
        <v>32.827445009787077</v>
      </c>
    </row>
    <row r="91" spans="2:23" x14ac:dyDescent="0.2">
      <c r="B91" s="15" t="s">
        <v>99</v>
      </c>
      <c r="C91" s="23"/>
      <c r="D91" s="174">
        <f>'Input data'!C66*$D$90</f>
        <v>20.74465291918969</v>
      </c>
      <c r="E91" s="23">
        <f t="shared" ref="E91:W91" si="39">IF(E90=0,0,IF(E85=1,D90*E43/((1+E24/100)*(1+E42/100))-E92-E93,IF(AND(E85=0,E86=1),(1-D96-E39*D97)*D90*E43/((1+E24/100)*(1+E42/100)),E90)))</f>
        <v>20.591005930685132</v>
      </c>
      <c r="F91" s="23">
        <f t="shared" si="39"/>
        <v>23.718267809310912</v>
      </c>
      <c r="G91" s="23">
        <f t="shared" si="39"/>
        <v>25.037631618686525</v>
      </c>
      <c r="H91" s="23">
        <f t="shared" si="39"/>
        <v>26.048679683771166</v>
      </c>
      <c r="I91" s="23">
        <f t="shared" si="39"/>
        <v>26.477892691146415</v>
      </c>
      <c r="J91" s="23">
        <f t="shared" si="39"/>
        <v>26.436879385286584</v>
      </c>
      <c r="K91" s="23">
        <f t="shared" si="39"/>
        <v>26.228987629832005</v>
      </c>
      <c r="L91" s="23">
        <f t="shared" si="39"/>
        <v>26.067927570627237</v>
      </c>
      <c r="M91" s="23">
        <f t="shared" si="39"/>
        <v>25.963623007513487</v>
      </c>
      <c r="N91" s="23">
        <f t="shared" si="39"/>
        <v>25.913487745848869</v>
      </c>
      <c r="O91" s="23">
        <f t="shared" si="39"/>
        <v>25.905675411074935</v>
      </c>
      <c r="P91" s="23">
        <f t="shared" si="39"/>
        <v>26.145577256666318</v>
      </c>
      <c r="Q91" s="23">
        <f t="shared" si="39"/>
        <v>26.41568686302584</v>
      </c>
      <c r="R91" s="23">
        <f t="shared" si="39"/>
        <v>26.70639793233655</v>
      </c>
      <c r="S91" s="23">
        <f t="shared" si="39"/>
        <v>27.005355753202231</v>
      </c>
      <c r="T91" s="23">
        <f t="shared" si="39"/>
        <v>27.297579757220657</v>
      </c>
      <c r="U91" s="23">
        <f t="shared" si="39"/>
        <v>27.583514395473802</v>
      </c>
      <c r="V91" s="23">
        <f t="shared" si="39"/>
        <v>27.86075073811968</v>
      </c>
      <c r="W91" s="23">
        <f t="shared" si="39"/>
        <v>28.158070847188306</v>
      </c>
    </row>
    <row r="92" spans="2:23" x14ac:dyDescent="0.2">
      <c r="B92" s="83" t="s">
        <v>100</v>
      </c>
      <c r="C92" s="23"/>
      <c r="D92" s="174">
        <f>'Input data'!C67*$D$90</f>
        <v>1.5656344655991252</v>
      </c>
      <c r="E92" s="23">
        <f t="shared" ref="E92:W92" si="40">IF(E90=0,0,IF(E85=1,E39*D90*D97*E43/((1+E24/100)*(1+E42/100)),IF(AND(E85=0,E86=1),(E39*D90*D97*E43/((1+E24/100)*(1+E42/100)))*(1-ABS(E90-D90*E43/((1+E24/100)*(1+E42/100)))/((E39*D90*D97*E43/((1+E24/100)*(1+E42/100)))+(D96*D90*E43/((1+E24/100)*(1+E42/100))))),0)))</f>
        <v>2.9950554895787773</v>
      </c>
      <c r="F92" s="23">
        <f t="shared" si="40"/>
        <v>2.3742009819130046E-2</v>
      </c>
      <c r="G92" s="23">
        <f t="shared" si="40"/>
        <v>0.22291506225889368</v>
      </c>
      <c r="H92" s="23">
        <f t="shared" si="40"/>
        <v>0.44103431224337847</v>
      </c>
      <c r="I92" s="23">
        <f t="shared" si="40"/>
        <v>0.66427469027619901</v>
      </c>
      <c r="J92" s="23">
        <f t="shared" si="40"/>
        <v>0.88237174321563328</v>
      </c>
      <c r="K92" s="23">
        <f t="shared" si="40"/>
        <v>1.0963802913287186</v>
      </c>
      <c r="L92" s="23">
        <f t="shared" si="40"/>
        <v>1.3128479484327862</v>
      </c>
      <c r="M92" s="23">
        <f t="shared" si="40"/>
        <v>1.5335862713586088</v>
      </c>
      <c r="N92" s="23">
        <f t="shared" si="40"/>
        <v>1.7599494288982014</v>
      </c>
      <c r="O92" s="23">
        <f t="shared" si="40"/>
        <v>1.9925378156125022</v>
      </c>
      <c r="P92" s="23">
        <f t="shared" si="40"/>
        <v>2.0109898919158944</v>
      </c>
      <c r="Q92" s="23">
        <f t="shared" si="40"/>
        <v>2.031765401393693</v>
      </c>
      <c r="R92" s="23">
        <f t="shared" si="40"/>
        <v>2.0541254746142159</v>
      </c>
      <c r="S92" s="23">
        <f t="shared" si="40"/>
        <v>2.077119847619187</v>
      </c>
      <c r="T92" s="23">
        <f t="shared" si="40"/>
        <v>2.0995962883757753</v>
      </c>
      <c r="U92" s="23">
        <f t="shared" si="40"/>
        <v>2.121588981886839</v>
      </c>
      <c r="V92" s="23">
        <f t="shared" si="40"/>
        <v>2.1429126450540172</v>
      </c>
      <c r="W92" s="23">
        <f t="shared" si="40"/>
        <v>2.1657810532796526</v>
      </c>
    </row>
    <row r="93" spans="2:23" x14ac:dyDescent="0.2">
      <c r="B93" s="83" t="s">
        <v>101</v>
      </c>
      <c r="C93" s="23"/>
      <c r="D93" s="174">
        <f>'Input data'!C68*$D$90</f>
        <v>0.56009090882314594</v>
      </c>
      <c r="E93" s="23">
        <f t="shared" ref="E93:W93" si="41">IF(E90=0,0,IF(E85=1,(1-D97)*D90*E43/((1+E24/100)*(1+E42/100)),IF(AND(E85=0,E86=1),(D96*D90*E43/((1+E24/100)*(1+E42/100)))*(1-ABS(E90-D90*E43/((1+E24/100)*(1+E42/100)))/((E39*D90*D97*E43/((1+E24/100)*(1+E42/100)))+(D96*D90*E43/((1+E24/100)*(1+E42/100))))),0)))</f>
        <v>0.59212534325230182</v>
      </c>
      <c r="F93" s="23">
        <f t="shared" si="41"/>
        <v>0.59364428199006292</v>
      </c>
      <c r="G93" s="23">
        <f t="shared" si="41"/>
        <v>0.62743836030925526</v>
      </c>
      <c r="H93" s="23">
        <f t="shared" si="41"/>
        <v>0.65424136641069564</v>
      </c>
      <c r="I93" s="23">
        <f t="shared" si="41"/>
        <v>0.66754847412007867</v>
      </c>
      <c r="J93" s="23">
        <f t="shared" si="41"/>
        <v>0.67004345040748248</v>
      </c>
      <c r="K93" s="23">
        <f t="shared" si="41"/>
        <v>0.66883876934477426</v>
      </c>
      <c r="L93" s="23">
        <f t="shared" si="41"/>
        <v>0.66886029217645726</v>
      </c>
      <c r="M93" s="23">
        <f t="shared" si="41"/>
        <v>0.67038119752601377</v>
      </c>
      <c r="N93" s="23">
        <f t="shared" si="41"/>
        <v>0.67336832833105342</v>
      </c>
      <c r="O93" s="23">
        <f t="shared" si="41"/>
        <v>0.67753659131176469</v>
      </c>
      <c r="P93" s="23">
        <f t="shared" si="41"/>
        <v>0.68252963539784173</v>
      </c>
      <c r="Q93" s="23">
        <f t="shared" si="41"/>
        <v>0.68832171413419951</v>
      </c>
      <c r="R93" s="23">
        <f t="shared" si="41"/>
        <v>0.69466980204979256</v>
      </c>
      <c r="S93" s="23">
        <f t="shared" si="41"/>
        <v>0.70125290708180987</v>
      </c>
      <c r="T93" s="23">
        <f t="shared" si="41"/>
        <v>0.70768794928128631</v>
      </c>
      <c r="U93" s="23">
        <f t="shared" si="41"/>
        <v>0.71398262802992762</v>
      </c>
      <c r="V93" s="23">
        <f t="shared" si="41"/>
        <v>0.720080567948989</v>
      </c>
      <c r="W93" s="23">
        <f t="shared" si="41"/>
        <v>0.72673197874403117</v>
      </c>
    </row>
    <row r="94" spans="2:23" x14ac:dyDescent="0.2">
      <c r="B94" s="83" t="s">
        <v>102</v>
      </c>
      <c r="C94" s="23"/>
      <c r="D94" s="174">
        <f>'Input data'!C69*$D$90</f>
        <v>1.8174793796364404</v>
      </c>
      <c r="E94" s="23">
        <f>IF(E90=0,0,IF(E85=1,'Input data'!$C$58*(E90-D90*E43/((1+E24/100)*(1+E42/100))),0))</f>
        <v>1.4573674963638568</v>
      </c>
      <c r="F94" s="23">
        <f>IF(F90=0,0,IF(F85=1,'Input data'!$C$58*(F90-E90*F43/((1+F24/100)*(1+F42/100))),0))</f>
        <v>2.6731638758311114</v>
      </c>
      <c r="G94" s="23">
        <f>IF(G90=0,0,IF(G85=1,'Input data'!$C$58*(G90-F90*G43/((1+G24/100)*(1+G42/100))),0))</f>
        <v>2.6782343358914318</v>
      </c>
      <c r="H94" s="23">
        <f>IF(H90=0,0,IF(H85=1,'Input data'!$C$58*(H90-G90*H43/((1+H24/100)*(1+H42/100))),0))</f>
        <v>2.2384664376825381</v>
      </c>
      <c r="I94" s="23">
        <f>IF(I90=0,0,IF(I85=1,'Input data'!$C$58*(I90-H90*I43/((1+I24/100)*(1+I42/100))),0))</f>
        <v>1.5991007179701477</v>
      </c>
      <c r="J94" s="23">
        <f>IF(J90=0,0,IF(J85=1,'Input data'!$C$58*(J90-I90*J43/((1+J24/100)*(1+J42/100))),0))</f>
        <v>1.2243373796356494</v>
      </c>
      <c r="K94" s="23">
        <f>IF(K90=0,0,IF(K85=1,'Input data'!$C$58*(K90-J90*K43/((1+K24/100)*(1+K42/100))),0))</f>
        <v>1.2595710462704102</v>
      </c>
      <c r="L94" s="23">
        <f>IF(L90=0,0,IF(L85=1,'Input data'!$C$58*(L90-K90*L43/((1+L24/100)*(1+L42/100))),0))</f>
        <v>1.3055269360722286</v>
      </c>
      <c r="M94" s="23">
        <f>IF(M90=0,0,IF(M85=1,'Input data'!$C$58*(M90-L90*M43/((1+M24/100)*(1+M42/100))),0))</f>
        <v>1.3522854638775443</v>
      </c>
      <c r="N94" s="23">
        <f>IF(N90=0,0,IF(N85=1,'Input data'!$C$58*(N90-M90*N43/((1+N24/100)*(1+N42/100))),0))</f>
        <v>1.4099199957141226</v>
      </c>
      <c r="O94" s="23">
        <f>IF(O90=0,0,IF(O85=1,'Input data'!$C$58*(O90-N90*O43/((1+O24/100)*(1+O42/100))),0))</f>
        <v>1.4594624709578405</v>
      </c>
      <c r="P94" s="23">
        <f>IF(P90=0,0,IF(P85=1,'Input data'!$C$58*(P90-O90*P43/((1+P24/100)*(1+P42/100))),0))</f>
        <v>1.5094372241980476</v>
      </c>
      <c r="Q94" s="23">
        <f>IF(Q90=0,0,IF(Q85=1,'Input data'!$C$58*(Q90-P90*Q43/((1+Q24/100)*(1+Q42/100))),0))</f>
        <v>1.5501181782928664</v>
      </c>
      <c r="R94" s="23">
        <f>IF(R90=0,0,IF(R85=1,'Input data'!$C$58*(R90-Q90*R43/((1+R24/100)*(1+R42/100))),0))</f>
        <v>1.5903923705814387</v>
      </c>
      <c r="S94" s="23">
        <f>IF(S90=0,0,IF(S85=1,'Input data'!$C$58*(S90-R90*S43/((1+S24/100)*(1+S42/100))),0))</f>
        <v>1.6234744273618043</v>
      </c>
      <c r="T94" s="23">
        <f>IF(T90=0,0,IF(T85=1,'Input data'!$C$58*(T90-S90*T43/((1+T24/100)*(1+T42/100))),0))</f>
        <v>1.6638183586315816</v>
      </c>
      <c r="U94" s="23">
        <f>IF(U90=0,0,IF(U85=1,'Input data'!$C$58*(U90-T90*U43/((1+U24/100)*(1+U42/100))),0))</f>
        <v>1.696637734650702</v>
      </c>
      <c r="V94" s="23">
        <f>IF(V90=0,0,IF(V85=1,'Input data'!$C$58*(V90-U90*V43/((1+V24/100)*(1+V42/100))),0))</f>
        <v>1.7176422060535925</v>
      </c>
      <c r="W94" s="23">
        <f>IF(W90=0,0,IF(W85=1,'Input data'!$C$58*(W90-V90*W43/((1+W24/100)*(1+W42/100))),0))</f>
        <v>1.7362831306222584</v>
      </c>
    </row>
    <row r="95" spans="2:23" x14ac:dyDescent="0.2">
      <c r="B95" s="85" t="s">
        <v>103</v>
      </c>
      <c r="C95" s="35"/>
      <c r="D95" s="175">
        <f>'Input data'!C70*$D$90</f>
        <v>4.5627084426023846E-2</v>
      </c>
      <c r="E95" s="35">
        <f>IF(E90=0,0,IF(E85=1,'Input data'!$C$57*(E90-D90*E43/((1+E24/100)*(1+E42/100))),0))</f>
        <v>3.4059570789883246E-2</v>
      </c>
      <c r="F95" s="35">
        <f>IF(F90=0,0,IF(F85=1,'Input data'!$C$57*(F90-E90*F43/((1+F24/100)*(1+F42/100))),0))</f>
        <v>6.2473476654989847E-2</v>
      </c>
      <c r="G95" s="35">
        <f>IF(G90=0,0,IF(G85=1,'Input data'!$C$57*(G90-F90*G43/((1+G24/100)*(1+G42/100))),0))</f>
        <v>6.2591976411429204E-2</v>
      </c>
      <c r="H95" s="35">
        <f>IF(H90=0,0,IF(H85=1,'Input data'!$C$57*(H90-G90*H43/((1+H24/100)*(1+H42/100))),0))</f>
        <v>5.2314331344186414E-2</v>
      </c>
      <c r="I95" s="35">
        <f>IF(I90=0,0,IF(I85=1,'Input data'!$C$57*(I90-H90*I43/((1+I24/100)*(1+I42/100))),0))</f>
        <v>3.7371962967300408E-2</v>
      </c>
      <c r="J95" s="35">
        <f>IF(J90=0,0,IF(J85=1,'Input data'!$C$57*(J90-I90*J43/((1+J24/100)*(1+J42/100))),0))</f>
        <v>2.8613514269011348E-2</v>
      </c>
      <c r="K95" s="35">
        <f>IF(K90=0,0,IF(K85=1,'Input data'!$C$57*(K90-J90*K43/((1+K24/100)*(1+K42/100))),0))</f>
        <v>2.9436946633139068E-2</v>
      </c>
      <c r="L95" s="35">
        <f>IF(L90=0,0,IF(L85=1,'Input data'!$C$57*(L90-K90*L43/((1+L24/100)*(1+L42/100))),0))</f>
        <v>3.0510963918293558E-2</v>
      </c>
      <c r="M95" s="35">
        <f>IF(M90=0,0,IF(M85=1,'Input data'!$C$57*(M90-L90*M43/((1+M24/100)*(1+M42/100))),0))</f>
        <v>3.1603739345074627E-2</v>
      </c>
      <c r="N95" s="35">
        <f>IF(N90=0,0,IF(N85=1,'Input data'!$C$57*(N90-M90*N43/((1+N24/100)*(1+N42/100))),0))</f>
        <v>3.2950693645844638E-2</v>
      </c>
      <c r="O95" s="35">
        <f>IF(O90=0,0,IF(O85=1,'Input data'!$C$57*(O90-N90*O43/((1+O24/100)*(1+O42/100))),0))</f>
        <v>3.4108531628974842E-2</v>
      </c>
      <c r="P95" s="35">
        <f>IF(P90=0,0,IF(P85=1,'Input data'!$C$57*(P90-O90*P43/((1+P24/100)*(1+P42/100))),0))</f>
        <v>3.5276472213582759E-2</v>
      </c>
      <c r="Q95" s="35">
        <f>IF(Q90=0,0,IF(Q85=1,'Input data'!$C$57*(Q90-P90*Q43/((1+Q24/100)*(1+Q42/100))),0))</f>
        <v>3.6227211021227022E-2</v>
      </c>
      <c r="R95" s="35">
        <f>IF(R90=0,0,IF(R85=1,'Input data'!$C$57*(R90-Q90*R43/((1+R24/100)*(1+R42/100))),0))</f>
        <v>3.7168443556384045E-2</v>
      </c>
      <c r="S95" s="35">
        <f>IF(S90=0,0,IF(S85=1,'Input data'!$C$57*(S90-R90*S43/((1+S24/100)*(1+S42/100))),0))</f>
        <v>3.7941591480704494E-2</v>
      </c>
      <c r="T95" s="35">
        <f>IF(T90=0,0,IF(T85=1,'Input data'!$C$57*(T90-S90*T43/((1+T24/100)*(1+T42/100))),0))</f>
        <v>3.8884453858556031E-2</v>
      </c>
      <c r="U95" s="35">
        <f>IF(U90=0,0,IF(U85=1,'Input data'!$C$57*(U90-T90*U43/((1+U24/100)*(1+U42/100))),0))</f>
        <v>3.9651462772637057E-2</v>
      </c>
      <c r="V95" s="35">
        <f>IF(V90=0,0,IF(V85=1,'Input data'!$C$57*(V90-U90*V43/((1+V24/100)*(1+V42/100))),0))</f>
        <v>4.0142350131135006E-2</v>
      </c>
      <c r="W95" s="35">
        <f>IF(W90=0,0,IF(W85=1,'Input data'!$C$57*(W90-V90*W43/((1+W24/100)*(1+W42/100))),0))</f>
        <v>4.0577999952830242E-2</v>
      </c>
    </row>
    <row r="96" spans="2:23" x14ac:dyDescent="0.2">
      <c r="B96" s="15" t="s">
        <v>51</v>
      </c>
      <c r="C96" s="25"/>
      <c r="D96" s="179">
        <f>'Baseline NFPC'!$D$93</f>
        <v>2.449006408312604E-2</v>
      </c>
      <c r="E96" s="25">
        <f t="shared" ref="E96:G96" si="42">IF(E90&lt;&gt;0,(E93+E95)/(E91+E92+E93+E94+E95),0)</f>
        <v>2.4394013800629201E-2</v>
      </c>
      <c r="F96" s="25">
        <f t="shared" si="42"/>
        <v>2.4236662656803184E-2</v>
      </c>
      <c r="G96" s="25">
        <f t="shared" si="42"/>
        <v>2.4102654078054776E-2</v>
      </c>
      <c r="H96" s="25">
        <f t="shared" ref="H96:W96" si="43">IF(H90&lt;&gt;0,(H93+H95)/(H91+H92+H93+H94+H95),0)</f>
        <v>2.4004145802411475E-2</v>
      </c>
      <c r="I96" s="25">
        <f t="shared" si="43"/>
        <v>2.3939276087092592E-2</v>
      </c>
      <c r="J96" s="25">
        <f t="shared" si="43"/>
        <v>2.3892042262144825E-2</v>
      </c>
      <c r="K96" s="25">
        <f t="shared" si="43"/>
        <v>2.3845596309258168E-2</v>
      </c>
      <c r="L96" s="25">
        <f t="shared" si="43"/>
        <v>2.3799735305287593E-2</v>
      </c>
      <c r="M96" s="25">
        <f t="shared" si="43"/>
        <v>2.3754645942659542E-2</v>
      </c>
      <c r="N96" s="25">
        <f t="shared" si="43"/>
        <v>2.3710194680001E-2</v>
      </c>
      <c r="O96" s="25">
        <f t="shared" si="43"/>
        <v>2.3666817324770904E-2</v>
      </c>
      <c r="P96" s="25">
        <f t="shared" si="43"/>
        <v>2.3624624306903954E-2</v>
      </c>
      <c r="Q96" s="25">
        <f t="shared" si="43"/>
        <v>2.3583949937816796E-2</v>
      </c>
      <c r="R96" s="25">
        <f t="shared" si="43"/>
        <v>2.3544832773228115E-2</v>
      </c>
      <c r="S96" s="25">
        <f t="shared" si="43"/>
        <v>2.3507428879323194E-2</v>
      </c>
      <c r="T96" s="25">
        <f t="shared" si="43"/>
        <v>2.3471534545890113E-2</v>
      </c>
      <c r="U96" s="25">
        <f>IF(U90&lt;&gt;0,(U93+U95)/(U91+U92+U93+U94+U95),0)</f>
        <v>2.343726627505234E-2</v>
      </c>
      <c r="V96" s="25">
        <f t="shared" si="43"/>
        <v>2.3404776591997373E-2</v>
      </c>
      <c r="W96" s="23">
        <f t="shared" si="43"/>
        <v>2.3374038962462595E-2</v>
      </c>
    </row>
    <row r="97" spans="2:25" x14ac:dyDescent="0.2">
      <c r="B97" s="24" t="s">
        <v>52</v>
      </c>
      <c r="C97" s="86"/>
      <c r="D97" s="180">
        <f>'Baseline NFPC'!$D$94</f>
        <v>0.97550993591687396</v>
      </c>
      <c r="E97" s="86">
        <f t="shared" ref="E97:G97" si="44">IF(E90&lt;&gt;0,(E91+E92+E94)/(E91+E92+E93+E94+E95),1)</f>
        <v>0.97560598619937078</v>
      </c>
      <c r="F97" s="86">
        <f t="shared" si="44"/>
        <v>0.97576333734319687</v>
      </c>
      <c r="G97" s="86">
        <f t="shared" si="44"/>
        <v>0.97589734592194521</v>
      </c>
      <c r="H97" s="86">
        <f t="shared" ref="H97:W97" si="45">IF(H90&lt;&gt;0,(H91+H92+H94)/(H91+H92+H93+H94+H95),1)</f>
        <v>0.97599585419758861</v>
      </c>
      <c r="I97" s="86">
        <f t="shared" si="45"/>
        <v>0.97606072391290744</v>
      </c>
      <c r="J97" s="86">
        <f t="shared" si="45"/>
        <v>0.97610795773785519</v>
      </c>
      <c r="K97" s="86">
        <f t="shared" si="45"/>
        <v>0.9761544036907418</v>
      </c>
      <c r="L97" s="86">
        <f t="shared" si="45"/>
        <v>0.97620026469471244</v>
      </c>
      <c r="M97" s="86">
        <f t="shared" si="45"/>
        <v>0.97624535405734048</v>
      </c>
      <c r="N97" s="86">
        <f t="shared" si="45"/>
        <v>0.97628980531999898</v>
      </c>
      <c r="O97" s="86">
        <f t="shared" si="45"/>
        <v>0.97633318267522917</v>
      </c>
      <c r="P97" s="86">
        <f t="shared" si="45"/>
        <v>0.97637537569309607</v>
      </c>
      <c r="Q97" s="86">
        <f t="shared" si="45"/>
        <v>0.97641605006218313</v>
      </c>
      <c r="R97" s="86">
        <f t="shared" si="45"/>
        <v>0.97645516722677184</v>
      </c>
      <c r="S97" s="86">
        <f t="shared" si="45"/>
        <v>0.97649257112067678</v>
      </c>
      <c r="T97" s="86">
        <f t="shared" si="45"/>
        <v>0.97652846545410987</v>
      </c>
      <c r="U97" s="86">
        <f t="shared" si="45"/>
        <v>0.97656273372494773</v>
      </c>
      <c r="V97" s="86">
        <f t="shared" si="45"/>
        <v>0.97659522340800264</v>
      </c>
      <c r="W97" s="35">
        <f t="shared" si="45"/>
        <v>0.97662596103753752</v>
      </c>
    </row>
    <row r="98" spans="2:25" x14ac:dyDescent="0.2">
      <c r="C98" s="27"/>
      <c r="D98" s="27"/>
      <c r="E98" s="27"/>
      <c r="F98" s="27"/>
      <c r="G98" s="27"/>
      <c r="H98" s="27"/>
      <c r="I98" s="27"/>
      <c r="J98" s="27"/>
      <c r="K98" s="27"/>
      <c r="L98" s="27"/>
      <c r="M98" s="27"/>
      <c r="N98" s="27"/>
      <c r="O98" s="27"/>
      <c r="P98" s="27"/>
      <c r="Q98" s="27"/>
      <c r="R98" s="27"/>
      <c r="S98" s="27"/>
      <c r="T98" s="27"/>
      <c r="U98" s="27"/>
      <c r="V98" s="27"/>
      <c r="W98" s="27"/>
    </row>
    <row r="99" spans="2:25" x14ac:dyDescent="0.2">
      <c r="B99" s="90" t="s">
        <v>104</v>
      </c>
      <c r="C99" s="92">
        <f>'Baseline NFPC'!C96</f>
        <v>0.72664200000000001</v>
      </c>
      <c r="D99" s="92">
        <f>'Baseline NFPC'!D96</f>
        <v>0.70384469999999999</v>
      </c>
      <c r="E99" s="92">
        <f>'Baseline NFPC'!E96</f>
        <v>1.2501800000000001</v>
      </c>
      <c r="F99" s="92">
        <f>'Baseline NFPC'!F96</f>
        <v>1.5276190000000001</v>
      </c>
      <c r="G99" s="92">
        <f>'Baseline NFPC'!G96</f>
        <v>1.6779250000000001</v>
      </c>
      <c r="H99" s="92">
        <f>H101</f>
        <v>1.8076504159462488</v>
      </c>
      <c r="I99" s="92">
        <f t="shared" ref="I99:V99" si="46">I101</f>
        <v>1.915575898410242</v>
      </c>
      <c r="J99" s="92">
        <f t="shared" si="46"/>
        <v>2.001132910047454</v>
      </c>
      <c r="K99" s="92">
        <f t="shared" si="46"/>
        <v>2.0777696003303627</v>
      </c>
      <c r="L99" s="92">
        <f t="shared" si="46"/>
        <v>2.160162698137885</v>
      </c>
      <c r="M99" s="92">
        <f t="shared" si="46"/>
        <v>2.2473481043520294</v>
      </c>
      <c r="N99" s="92">
        <f t="shared" si="46"/>
        <v>2.3379592142661361</v>
      </c>
      <c r="O99" s="92">
        <f t="shared" si="46"/>
        <v>2.4309285943829524</v>
      </c>
      <c r="P99" s="92">
        <f t="shared" si="46"/>
        <v>2.5242666869474162</v>
      </c>
      <c r="Q99" s="92">
        <f t="shared" si="46"/>
        <v>2.6119127579871693</v>
      </c>
      <c r="R99" s="92">
        <f t="shared" si="46"/>
        <v>2.6941866269715082</v>
      </c>
      <c r="S99" s="92">
        <f t="shared" si="46"/>
        <v>2.7716191422797687</v>
      </c>
      <c r="T99" s="92">
        <f t="shared" si="46"/>
        <v>2.8445908556345119</v>
      </c>
      <c r="U99" s="92">
        <f t="shared" si="46"/>
        <v>2.9137264198070763</v>
      </c>
      <c r="V99" s="92">
        <f t="shared" si="46"/>
        <v>2.9793309473288856</v>
      </c>
      <c r="W99" s="92">
        <f>W101</f>
        <v>3.0416416440119143</v>
      </c>
    </row>
    <row r="100" spans="2:25" x14ac:dyDescent="0.2">
      <c r="B100" s="22" t="s">
        <v>105</v>
      </c>
      <c r="C100" s="23"/>
      <c r="D100" s="23"/>
      <c r="E100" s="184">
        <f>((E36*D90)-(E38*(D93+D95)))/(D91+D92+D94)</f>
        <v>1.1954568377730643</v>
      </c>
      <c r="F100" s="184">
        <f>((F36*E90)-(F38*(E93+E95)))/(E91+E92+E94)</f>
        <v>1.4766962085504025</v>
      </c>
      <c r="G100" s="184">
        <f>((G36*F90)-(G38*(F93+F95)))/(F91+F92+F94)</f>
        <v>1.649647417162377</v>
      </c>
      <c r="H100" s="23">
        <f t="shared" ref="H100:W100" si="47">IF(G90&gt;0,(G100*G91+H37*(G94+G92))/(G91+G92+G94),H37)</f>
        <v>1.7830157283999519</v>
      </c>
      <c r="I100" s="23">
        <f t="shared" si="47"/>
        <v>1.8939763093273241</v>
      </c>
      <c r="J100" s="23">
        <f t="shared" si="47"/>
        <v>1.9819683274217625</v>
      </c>
      <c r="K100" s="23">
        <f t="shared" si="47"/>
        <v>2.0607958170773979</v>
      </c>
      <c r="L100" s="23">
        <f t="shared" si="47"/>
        <v>2.145511110950387</v>
      </c>
      <c r="M100" s="23">
        <f t="shared" si="47"/>
        <v>2.2351261038025685</v>
      </c>
      <c r="N100" s="23">
        <f t="shared" si="47"/>
        <v>2.3282403506820608</v>
      </c>
      <c r="O100" s="23">
        <f t="shared" si="47"/>
        <v>2.4237602982980531</v>
      </c>
      <c r="P100" s="23">
        <f t="shared" si="47"/>
        <v>2.5202544259878996</v>
      </c>
      <c r="Q100" s="23">
        <f t="shared" si="47"/>
        <v>2.6109069623422774</v>
      </c>
      <c r="R100" s="23">
        <f t="shared" si="47"/>
        <v>2.6960466977672368</v>
      </c>
      <c r="S100" s="23">
        <f t="shared" si="47"/>
        <v>2.7762185439908613</v>
      </c>
      <c r="T100" s="23">
        <f t="shared" si="47"/>
        <v>2.8518134171811096</v>
      </c>
      <c r="U100" s="23">
        <f t="shared" si="47"/>
        <v>2.9234720124874403</v>
      </c>
      <c r="V100" s="23">
        <f t="shared" si="47"/>
        <v>2.991507761718796</v>
      </c>
      <c r="W100" s="23">
        <f t="shared" si="47"/>
        <v>3.05616455492286</v>
      </c>
    </row>
    <row r="101" spans="2:25" x14ac:dyDescent="0.2">
      <c r="B101" s="24" t="s">
        <v>41</v>
      </c>
      <c r="C101" s="35"/>
      <c r="D101" s="35"/>
      <c r="E101" s="35">
        <f t="shared" ref="E101:W101" si="48">(E100*(D91+D92+D94)+E38*(D93+D95))/D90</f>
        <v>1.2501800000000001</v>
      </c>
      <c r="F101" s="35">
        <f t="shared" si="48"/>
        <v>1.5276190000000001</v>
      </c>
      <c r="G101" s="35">
        <f t="shared" si="48"/>
        <v>1.6779249999999999</v>
      </c>
      <c r="H101" s="35">
        <f t="shared" si="48"/>
        <v>1.8076504159462488</v>
      </c>
      <c r="I101" s="35">
        <f t="shared" si="48"/>
        <v>1.915575898410242</v>
      </c>
      <c r="J101" s="35">
        <f t="shared" si="48"/>
        <v>2.001132910047454</v>
      </c>
      <c r="K101" s="35">
        <f t="shared" si="48"/>
        <v>2.0777696003303627</v>
      </c>
      <c r="L101" s="35">
        <f t="shared" si="48"/>
        <v>2.160162698137885</v>
      </c>
      <c r="M101" s="35">
        <f t="shared" si="48"/>
        <v>2.2473481043520294</v>
      </c>
      <c r="N101" s="35">
        <f t="shared" si="48"/>
        <v>2.3379592142661361</v>
      </c>
      <c r="O101" s="35">
        <f t="shared" si="48"/>
        <v>2.4309285943829524</v>
      </c>
      <c r="P101" s="35">
        <f t="shared" si="48"/>
        <v>2.5242666869474162</v>
      </c>
      <c r="Q101" s="35">
        <f t="shared" si="48"/>
        <v>2.6119127579871693</v>
      </c>
      <c r="R101" s="35">
        <f t="shared" si="48"/>
        <v>2.6941866269715082</v>
      </c>
      <c r="S101" s="35">
        <f t="shared" si="48"/>
        <v>2.7716191422797687</v>
      </c>
      <c r="T101" s="35">
        <f t="shared" si="48"/>
        <v>2.8445908556345119</v>
      </c>
      <c r="U101" s="35">
        <f t="shared" si="48"/>
        <v>2.9137264198070763</v>
      </c>
      <c r="V101" s="35">
        <f t="shared" si="48"/>
        <v>2.9793309473288856</v>
      </c>
      <c r="W101" s="35">
        <f t="shared" si="48"/>
        <v>3.0416416440119143</v>
      </c>
    </row>
    <row r="102" spans="2:25" x14ac:dyDescent="0.2">
      <c r="C102" s="27"/>
      <c r="D102" s="27"/>
      <c r="E102" s="27"/>
      <c r="F102" s="27"/>
      <c r="G102" s="23"/>
      <c r="H102" s="23"/>
      <c r="I102" s="23"/>
      <c r="J102" s="23"/>
      <c r="K102" s="23"/>
      <c r="L102" s="23"/>
      <c r="M102" s="23"/>
      <c r="N102" s="23"/>
      <c r="O102" s="23"/>
      <c r="P102" s="23"/>
      <c r="Q102" s="23"/>
      <c r="R102" s="23"/>
      <c r="S102" s="23"/>
      <c r="T102" s="23"/>
      <c r="U102" s="23"/>
      <c r="V102" s="23"/>
      <c r="W102" s="23"/>
    </row>
    <row r="103" spans="2:25" x14ac:dyDescent="0.2">
      <c r="B103" s="90" t="s">
        <v>135</v>
      </c>
      <c r="C103" s="92">
        <f t="shared" ref="C103:W103" si="49">((1+C99/100)/((1+C24/100)*(1+C42/100))-1)*100</f>
        <v>-10.181920895997088</v>
      </c>
      <c r="D103" s="92">
        <f t="shared" si="49"/>
        <v>-6.0091482114178358</v>
      </c>
      <c r="E103" s="92">
        <f t="shared" si="49"/>
        <v>-1.0230417257739544</v>
      </c>
      <c r="F103" s="92">
        <f t="shared" si="49"/>
        <v>-3.7484053688254471</v>
      </c>
      <c r="G103" s="92">
        <f t="shared" si="49"/>
        <v>-2.7664932078749982</v>
      </c>
      <c r="H103" s="92">
        <f t="shared" si="49"/>
        <v>-3.4726840623636956</v>
      </c>
      <c r="I103" s="92">
        <f t="shared" si="49"/>
        <v>-3.7109354630733726</v>
      </c>
      <c r="J103" s="92">
        <f t="shared" si="49"/>
        <v>-3.045524792965093</v>
      </c>
      <c r="K103" s="92">
        <f t="shared" si="49"/>
        <v>-2.2788389026397016</v>
      </c>
      <c r="L103" s="92">
        <f t="shared" si="49"/>
        <v>-2.1434159780631012</v>
      </c>
      <c r="M103" s="92">
        <f t="shared" si="49"/>
        <v>-1.9909682179326538</v>
      </c>
      <c r="N103" s="92">
        <f t="shared" si="49"/>
        <v>-1.8338757693646568</v>
      </c>
      <c r="O103" s="92">
        <f t="shared" si="49"/>
        <v>-1.7431216697334717</v>
      </c>
      <c r="P103" s="92">
        <f t="shared" si="49"/>
        <v>-1.6703015231643747</v>
      </c>
      <c r="Q103" s="92">
        <f t="shared" si="49"/>
        <v>-1.602944122061678</v>
      </c>
      <c r="R103" s="92">
        <f t="shared" si="49"/>
        <v>-1.5407409782309034</v>
      </c>
      <c r="S103" s="92">
        <f t="shared" si="49"/>
        <v>-1.5234621561299511</v>
      </c>
      <c r="T103" s="92">
        <f t="shared" si="49"/>
        <v>-1.5389349638921801</v>
      </c>
      <c r="U103" s="92">
        <f t="shared" si="49"/>
        <v>-1.5787182320971094</v>
      </c>
      <c r="V103" s="92">
        <f t="shared" si="49"/>
        <v>-1.6055456878393159</v>
      </c>
      <c r="W103" s="92">
        <f t="shared" si="49"/>
        <v>-1.4977655315913552</v>
      </c>
    </row>
    <row r="104" spans="2:25" x14ac:dyDescent="0.2">
      <c r="F104" s="23"/>
      <c r="G104" s="23"/>
      <c r="H104" s="23"/>
      <c r="I104" s="23"/>
      <c r="J104" s="23"/>
      <c r="K104" s="23"/>
      <c r="L104" s="23"/>
      <c r="M104" s="23"/>
      <c r="N104" s="23"/>
      <c r="O104" s="23"/>
      <c r="P104" s="23"/>
      <c r="Q104" s="23"/>
      <c r="R104" s="23"/>
      <c r="S104" s="23"/>
      <c r="T104" s="23"/>
      <c r="U104" s="23"/>
      <c r="V104" s="23"/>
      <c r="W104" s="23"/>
    </row>
    <row r="105" spans="2:25" x14ac:dyDescent="0.2">
      <c r="F105" s="23"/>
      <c r="G105" s="23"/>
      <c r="H105" s="173"/>
      <c r="I105" s="173"/>
      <c r="J105" s="173"/>
      <c r="K105" s="173"/>
      <c r="L105" s="173"/>
      <c r="M105" s="173"/>
      <c r="N105" s="173"/>
      <c r="O105" s="173"/>
      <c r="P105" s="173"/>
      <c r="Q105" s="173"/>
      <c r="R105" s="173"/>
      <c r="S105" s="173"/>
      <c r="T105" s="173"/>
      <c r="U105" s="23"/>
      <c r="V105" s="23"/>
      <c r="W105" s="23"/>
    </row>
    <row r="106" spans="2:25" x14ac:dyDescent="0.2">
      <c r="T106" s="47"/>
      <c r="U106" s="47"/>
      <c r="V106" s="47"/>
      <c r="W106" s="47"/>
      <c r="X106" s="47"/>
      <c r="Y106" s="47"/>
    </row>
    <row r="107" spans="2:25" x14ac:dyDescent="0.2">
      <c r="T107" s="47"/>
      <c r="U107" s="93"/>
      <c r="V107" s="93"/>
      <c r="W107" s="93"/>
      <c r="X107" s="93"/>
      <c r="Y107" s="47"/>
    </row>
    <row r="108" spans="2:25" x14ac:dyDescent="0.2">
      <c r="H108" s="98"/>
      <c r="I108" s="98"/>
      <c r="J108" s="98"/>
      <c r="K108" s="98"/>
      <c r="L108" s="98"/>
      <c r="M108" s="98"/>
      <c r="N108" s="98"/>
      <c r="O108" s="98"/>
      <c r="P108" s="98"/>
      <c r="Q108" s="98"/>
      <c r="R108" s="98"/>
      <c r="S108" s="98"/>
      <c r="T108" s="98"/>
      <c r="U108" s="98"/>
      <c r="V108" s="98"/>
      <c r="W108" s="98"/>
    </row>
    <row r="109" spans="2:25" x14ac:dyDescent="0.2">
      <c r="E109" s="23"/>
      <c r="F109" s="23"/>
      <c r="G109" s="98"/>
      <c r="H109" s="98"/>
      <c r="I109" s="98"/>
      <c r="J109" s="98"/>
      <c r="K109" s="98"/>
      <c r="L109" s="98"/>
      <c r="M109" s="98"/>
      <c r="N109" s="98"/>
      <c r="O109" s="98"/>
      <c r="P109" s="98"/>
      <c r="Q109" s="98"/>
      <c r="R109" s="98"/>
      <c r="S109" s="98"/>
      <c r="T109" s="98"/>
      <c r="U109" s="98"/>
      <c r="V109" s="98"/>
      <c r="W109" s="98"/>
    </row>
    <row r="110" spans="2:25" x14ac:dyDescent="0.2">
      <c r="E110" s="23"/>
      <c r="F110" s="23"/>
      <c r="G110" s="98"/>
      <c r="H110" s="98"/>
      <c r="I110" s="98"/>
      <c r="J110" s="98"/>
      <c r="K110" s="98"/>
      <c r="L110" s="98"/>
      <c r="M110" s="98"/>
      <c r="N110" s="98"/>
      <c r="O110" s="98"/>
      <c r="P110" s="98"/>
      <c r="Q110" s="98"/>
      <c r="R110" s="98"/>
      <c r="S110" s="98"/>
      <c r="T110" s="98"/>
      <c r="U110" s="98"/>
      <c r="V110" s="98"/>
      <c r="W110" s="98"/>
    </row>
    <row r="113" spans="5:24" x14ac:dyDescent="0.2">
      <c r="E113" s="23"/>
      <c r="F113" s="23"/>
      <c r="G113" s="98"/>
      <c r="H113" s="98"/>
      <c r="I113" s="98"/>
      <c r="J113" s="98"/>
      <c r="K113" s="98"/>
      <c r="L113" s="98"/>
      <c r="M113" s="98"/>
      <c r="N113" s="98"/>
      <c r="O113" s="98"/>
      <c r="P113" s="98"/>
      <c r="Q113" s="98"/>
      <c r="R113" s="98"/>
      <c r="S113" s="98"/>
      <c r="T113" s="98"/>
      <c r="U113" s="98"/>
      <c r="V113" s="98"/>
      <c r="W113" s="98"/>
    </row>
    <row r="114" spans="5:24" x14ac:dyDescent="0.2">
      <c r="E114" s="23"/>
      <c r="F114" s="23"/>
      <c r="G114" s="98"/>
      <c r="H114" s="98"/>
      <c r="I114" s="98"/>
      <c r="J114" s="98"/>
      <c r="K114" s="98"/>
      <c r="L114" s="98"/>
      <c r="M114" s="98"/>
      <c r="N114" s="98"/>
      <c r="O114" s="98"/>
      <c r="P114" s="98"/>
      <c r="Q114" s="98"/>
      <c r="R114" s="98"/>
      <c r="S114" s="98"/>
      <c r="T114" s="98"/>
      <c r="U114" s="98"/>
      <c r="V114" s="98"/>
      <c r="W114" s="98"/>
      <c r="X114" s="38"/>
    </row>
    <row r="115" spans="5:24" x14ac:dyDescent="0.2">
      <c r="G115" s="38"/>
      <c r="H115" s="38"/>
      <c r="I115" s="38"/>
      <c r="J115" s="38"/>
      <c r="K115" s="38"/>
      <c r="L115" s="38"/>
      <c r="M115" s="38"/>
      <c r="N115" s="38"/>
      <c r="O115" s="38"/>
      <c r="P115" s="38"/>
      <c r="Q115" s="38"/>
      <c r="R115" s="38"/>
      <c r="S115" s="38"/>
      <c r="T115" s="38"/>
      <c r="U115" s="38"/>
      <c r="V115" s="38"/>
      <c r="W115" s="38"/>
      <c r="X115" s="38"/>
    </row>
    <row r="116" spans="5:24" x14ac:dyDescent="0.2">
      <c r="E116" s="23"/>
      <c r="F116" s="23"/>
      <c r="G116" s="98"/>
      <c r="H116" s="98"/>
      <c r="I116" s="98"/>
      <c r="J116" s="98"/>
      <c r="K116" s="98"/>
      <c r="L116" s="98"/>
      <c r="M116" s="98"/>
      <c r="N116" s="98"/>
      <c r="O116" s="98"/>
      <c r="P116" s="98"/>
      <c r="Q116" s="98"/>
      <c r="R116" s="98"/>
      <c r="S116" s="98"/>
      <c r="T116" s="98"/>
      <c r="U116" s="98"/>
      <c r="V116" s="98"/>
      <c r="W116" s="98"/>
      <c r="X116" s="38"/>
    </row>
    <row r="117" spans="5:24" x14ac:dyDescent="0.2">
      <c r="E117" s="23"/>
      <c r="F117" s="23"/>
      <c r="G117" s="98"/>
      <c r="H117" s="98"/>
      <c r="I117" s="98"/>
      <c r="J117" s="98"/>
      <c r="K117" s="98"/>
      <c r="L117" s="98"/>
      <c r="M117" s="98"/>
      <c r="N117" s="98"/>
      <c r="O117" s="98"/>
      <c r="P117" s="98"/>
      <c r="Q117" s="98"/>
      <c r="R117" s="98"/>
      <c r="S117" s="98"/>
      <c r="T117" s="98"/>
      <c r="U117" s="98"/>
      <c r="V117" s="98"/>
      <c r="W117" s="98"/>
      <c r="X117" s="38"/>
    </row>
    <row r="118" spans="5:24" x14ac:dyDescent="0.2">
      <c r="G118" s="38"/>
      <c r="H118" s="38"/>
      <c r="I118" s="38"/>
      <c r="J118" s="38"/>
      <c r="K118" s="38"/>
      <c r="L118" s="38"/>
      <c r="M118" s="38"/>
      <c r="N118" s="38"/>
      <c r="O118" s="38"/>
      <c r="P118" s="38"/>
      <c r="Q118" s="38"/>
      <c r="R118" s="38"/>
      <c r="S118" s="38"/>
      <c r="T118" s="38"/>
      <c r="U118" s="38"/>
      <c r="V118" s="38"/>
      <c r="W118" s="38"/>
      <c r="X118" s="38"/>
    </row>
    <row r="119" spans="5:24" x14ac:dyDescent="0.2">
      <c r="E119" s="23"/>
      <c r="F119" s="23"/>
      <c r="G119" s="98"/>
      <c r="H119" s="98"/>
      <c r="I119" s="98"/>
      <c r="J119" s="98"/>
      <c r="K119" s="98"/>
      <c r="L119" s="98"/>
      <c r="M119" s="98"/>
      <c r="N119" s="98"/>
      <c r="O119" s="98"/>
      <c r="P119" s="98"/>
      <c r="Q119" s="98"/>
      <c r="R119" s="98"/>
      <c r="S119" s="98"/>
      <c r="T119" s="98"/>
      <c r="U119" s="98"/>
      <c r="V119" s="98"/>
      <c r="W119" s="98"/>
      <c r="X119" s="98"/>
    </row>
    <row r="120" spans="5:24" x14ac:dyDescent="0.2">
      <c r="E120" s="23"/>
      <c r="F120" s="23"/>
      <c r="G120" s="98"/>
      <c r="H120" s="98"/>
      <c r="I120" s="98"/>
      <c r="J120" s="98"/>
      <c r="K120" s="98"/>
      <c r="L120" s="98"/>
      <c r="M120" s="98"/>
      <c r="N120" s="98"/>
      <c r="O120" s="98"/>
      <c r="P120" s="98"/>
      <c r="Q120" s="98"/>
      <c r="R120" s="98"/>
      <c r="S120" s="98"/>
      <c r="T120" s="98"/>
      <c r="U120" s="98"/>
      <c r="V120" s="98"/>
      <c r="W120" s="98"/>
      <c r="X120" s="98"/>
    </row>
    <row r="121" spans="5:24" x14ac:dyDescent="0.2">
      <c r="G121" s="98"/>
      <c r="H121" s="98"/>
      <c r="I121" s="98"/>
      <c r="J121" s="98"/>
      <c r="K121" s="98"/>
      <c r="L121" s="98"/>
      <c r="M121" s="98"/>
      <c r="N121" s="98"/>
      <c r="O121" s="98"/>
      <c r="P121" s="98"/>
      <c r="Q121" s="98"/>
      <c r="R121" s="98"/>
      <c r="S121" s="98"/>
      <c r="T121" s="98"/>
      <c r="U121" s="98"/>
      <c r="V121" s="98"/>
      <c r="W121" s="98"/>
      <c r="X121" s="98"/>
    </row>
    <row r="122" spans="5:24" x14ac:dyDescent="0.2">
      <c r="E122" s="23"/>
      <c r="F122" s="23"/>
      <c r="G122" s="98"/>
      <c r="H122" s="98"/>
      <c r="I122" s="98"/>
      <c r="J122" s="98"/>
      <c r="K122" s="98"/>
      <c r="L122" s="98"/>
      <c r="M122" s="98"/>
      <c r="N122" s="98"/>
      <c r="O122" s="98"/>
      <c r="P122" s="98"/>
      <c r="Q122" s="98"/>
      <c r="R122" s="98"/>
      <c r="S122" s="98"/>
      <c r="T122" s="98"/>
      <c r="U122" s="98"/>
      <c r="V122" s="98"/>
      <c r="W122" s="98"/>
      <c r="X122" s="98"/>
    </row>
    <row r="123" spans="5:24" x14ac:dyDescent="0.2">
      <c r="E123" s="23"/>
      <c r="F123" s="23"/>
      <c r="G123" s="98"/>
      <c r="H123" s="98"/>
      <c r="I123" s="98"/>
      <c r="J123" s="98"/>
      <c r="K123" s="98"/>
      <c r="L123" s="98"/>
      <c r="M123" s="98"/>
      <c r="N123" s="98"/>
      <c r="O123" s="98"/>
      <c r="P123" s="98"/>
      <c r="Q123" s="98"/>
      <c r="R123" s="98"/>
      <c r="S123" s="98"/>
      <c r="T123" s="98"/>
      <c r="U123" s="98"/>
      <c r="V123" s="98"/>
      <c r="W123" s="98"/>
      <c r="X123" s="98"/>
    </row>
    <row r="124" spans="5:24" x14ac:dyDescent="0.2">
      <c r="G124" s="98"/>
      <c r="H124" s="98"/>
      <c r="I124" s="98"/>
      <c r="J124" s="98"/>
      <c r="K124" s="98"/>
      <c r="L124" s="98"/>
      <c r="M124" s="98"/>
      <c r="N124" s="98"/>
      <c r="O124" s="98"/>
      <c r="P124" s="98"/>
      <c r="Q124" s="98"/>
      <c r="R124" s="98"/>
      <c r="S124" s="98"/>
      <c r="T124" s="98"/>
      <c r="U124" s="98"/>
      <c r="V124" s="98"/>
      <c r="W124" s="98"/>
      <c r="X124" s="98"/>
    </row>
    <row r="125" spans="5:24" x14ac:dyDescent="0.2">
      <c r="G125" s="98"/>
      <c r="H125" s="98"/>
      <c r="I125" s="98"/>
      <c r="J125" s="98"/>
      <c r="K125" s="98"/>
      <c r="L125" s="98"/>
      <c r="M125" s="98"/>
      <c r="N125" s="98"/>
      <c r="O125" s="98"/>
      <c r="P125" s="98"/>
      <c r="Q125" s="98"/>
      <c r="R125" s="98"/>
      <c r="S125" s="98"/>
      <c r="T125" s="98"/>
      <c r="U125" s="98"/>
      <c r="V125" s="98"/>
      <c r="W125" s="98"/>
      <c r="X125" s="98"/>
    </row>
  </sheetData>
  <conditionalFormatting sqref="G12:M12">
    <cfRule type="expression" dxfId="6" priority="4">
      <formula>AND(G10&gt;$C$5,G10&lt;=$C$6)</formula>
    </cfRule>
  </conditionalFormatting>
  <conditionalFormatting sqref="U10:W44 U46:W53 U84:W140 U55:W82">
    <cfRule type="expression" dxfId="5"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LU</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1"/>
      <c r="G11" s="181"/>
      <c r="H11" s="181"/>
      <c r="I11" s="181"/>
      <c r="J11" s="181"/>
      <c r="K11" s="181"/>
      <c r="L11" s="181"/>
      <c r="M11" s="181"/>
      <c r="N11" s="181"/>
      <c r="O11" s="181"/>
      <c r="P11" s="181"/>
      <c r="Q11" s="181"/>
      <c r="R11" s="181"/>
      <c r="S11" s="181"/>
      <c r="T11" s="181"/>
      <c r="U11" s="181"/>
      <c r="V11" s="181"/>
      <c r="W11" s="181"/>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0.32530419999999999</v>
      </c>
      <c r="D12" s="2">
        <f>'Input data'!D13</f>
        <v>-0.27810010000000002</v>
      </c>
      <c r="E12" s="2">
        <f>'Input data'!E13</f>
        <v>0.28953679999999998</v>
      </c>
      <c r="F12" s="2">
        <f>'Input data'!F13</f>
        <v>9.7703100000000001E-2</v>
      </c>
      <c r="G12" s="3">
        <f>IF(G10&lt;=$C$6,F12+'Criteria results'!$F$7,F12)</f>
        <v>9.7703100000000001E-2</v>
      </c>
      <c r="H12" s="3">
        <f>IF(H10&lt;=$C$6,G12+'Criteria results'!$F$7,G12)</f>
        <v>9.7703100000000001E-2</v>
      </c>
      <c r="I12" s="3">
        <f>IF(I10&lt;=$C$6,H12+'Criteria results'!$F$7,H12)</f>
        <v>9.7703100000000001E-2</v>
      </c>
      <c r="J12" s="3">
        <f>IF(J10&lt;=$C$6,I12+'Criteria results'!$F$7,I12)</f>
        <v>9.7703100000000001E-2</v>
      </c>
      <c r="K12" s="96">
        <f>IF(K10&lt;=$C$6,J12+'Criteria results'!$F$7,J12)</f>
        <v>9.7703100000000001E-2</v>
      </c>
      <c r="L12" s="96">
        <f>IF(L10&lt;=$C$6,K12+'Criteria results'!$F$7,K12)</f>
        <v>9.7703100000000001E-2</v>
      </c>
      <c r="M12" s="96">
        <f>IF(M10&lt;=$C$6,L12+'Criteria results'!$F$7,L12)</f>
        <v>9.7703100000000001E-2</v>
      </c>
      <c r="N12" s="96">
        <f>M12</f>
        <v>9.7703100000000001E-2</v>
      </c>
      <c r="O12" s="96">
        <f t="shared" ref="O12:W12" si="0">N12</f>
        <v>9.7703100000000001E-2</v>
      </c>
      <c r="P12" s="96">
        <f t="shared" si="0"/>
        <v>9.7703100000000001E-2</v>
      </c>
      <c r="Q12" s="96">
        <f t="shared" si="0"/>
        <v>9.7703100000000001E-2</v>
      </c>
      <c r="R12" s="96">
        <f t="shared" si="0"/>
        <v>9.7703100000000001E-2</v>
      </c>
      <c r="S12" s="96">
        <f t="shared" si="0"/>
        <v>9.7703100000000001E-2</v>
      </c>
      <c r="T12" s="96">
        <f t="shared" si="0"/>
        <v>9.7703100000000001E-2</v>
      </c>
      <c r="U12" s="96">
        <f t="shared" si="0"/>
        <v>9.7703100000000001E-2</v>
      </c>
      <c r="V12" s="96">
        <f t="shared" si="0"/>
        <v>9.7703100000000001E-2</v>
      </c>
      <c r="W12" s="96">
        <f t="shared" si="0"/>
        <v>9.7703100000000001E-2</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63" t="s">
        <v>139</v>
      </c>
      <c r="C13" s="18"/>
      <c r="D13" s="18"/>
      <c r="E13" s="18"/>
      <c r="F13" s="181"/>
      <c r="G13" s="181">
        <f>G12-F12</f>
        <v>0</v>
      </c>
      <c r="H13" s="181">
        <f t="shared" ref="H13:W13" si="1">H12-G12</f>
        <v>0</v>
      </c>
      <c r="I13" s="181">
        <f t="shared" si="1"/>
        <v>0</v>
      </c>
      <c r="J13" s="181">
        <f t="shared" si="1"/>
        <v>0</v>
      </c>
      <c r="K13" s="181">
        <f t="shared" si="1"/>
        <v>0</v>
      </c>
      <c r="L13" s="181">
        <f t="shared" si="1"/>
        <v>0</v>
      </c>
      <c r="M13" s="181">
        <f t="shared" si="1"/>
        <v>0</v>
      </c>
      <c r="N13" s="181">
        <f t="shared" si="1"/>
        <v>0</v>
      </c>
      <c r="O13" s="181">
        <f t="shared" si="1"/>
        <v>0</v>
      </c>
      <c r="P13" s="181">
        <f t="shared" si="1"/>
        <v>0</v>
      </c>
      <c r="Q13" s="181">
        <f t="shared" si="1"/>
        <v>0</v>
      </c>
      <c r="R13" s="181">
        <f t="shared" si="1"/>
        <v>0</v>
      </c>
      <c r="S13" s="181">
        <f t="shared" si="1"/>
        <v>0</v>
      </c>
      <c r="T13" s="181">
        <f t="shared" si="1"/>
        <v>0</v>
      </c>
      <c r="U13" s="181">
        <f t="shared" si="1"/>
        <v>0</v>
      </c>
      <c r="V13" s="181">
        <f t="shared" si="1"/>
        <v>0</v>
      </c>
      <c r="W13" s="181">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3.1046429999999998</v>
      </c>
      <c r="D15" s="2">
        <f>'Input data'!D15</f>
        <v>1.5134049999999999</v>
      </c>
      <c r="E15" s="2">
        <f>'Input data'!E15</f>
        <v>0.23943519999999999</v>
      </c>
      <c r="F15" s="2">
        <f>'Input data'!F15</f>
        <v>1.0366949999999999</v>
      </c>
      <c r="G15" s="2">
        <f>'Input data'!G15</f>
        <v>1.0661879999999999</v>
      </c>
      <c r="H15" s="2">
        <f>'Input data'!H15</f>
        <v>1.0058400000000001</v>
      </c>
      <c r="I15" s="2">
        <f>'Input data'!I15</f>
        <v>0.90413500000000002</v>
      </c>
      <c r="J15" s="2">
        <f>'Input data'!J15</f>
        <v>0.79055200000000003</v>
      </c>
      <c r="K15" s="2">
        <f>'Input data'!K15</f>
        <v>0.65862969999999998</v>
      </c>
      <c r="L15" s="2">
        <f>'Input data'!L15</f>
        <v>0.49461250000000001</v>
      </c>
      <c r="M15" s="2">
        <f>'Input data'!M15</f>
        <v>0.32602239999999999</v>
      </c>
      <c r="N15" s="2">
        <f>'Input data'!N15</f>
        <v>0.15586639999999999</v>
      </c>
      <c r="O15" s="2">
        <f>'Input data'!O15</f>
        <v>-2.03857E-2</v>
      </c>
      <c r="P15" s="2">
        <f>'Input data'!P15</f>
        <v>-0.19921710000000001</v>
      </c>
      <c r="Q15" s="2">
        <f>'Input data'!Q15</f>
        <v>-0.3653266</v>
      </c>
      <c r="R15" s="2">
        <f>'Input data'!R15</f>
        <v>-0.52362160000000002</v>
      </c>
      <c r="S15" s="2">
        <f>'Input data'!S15</f>
        <v>-0.68878539999999999</v>
      </c>
      <c r="T15" s="2">
        <f>'Input data'!T15</f>
        <v>-0.84298320000000004</v>
      </c>
      <c r="U15" s="2">
        <f>'Input data'!U15</f>
        <v>-0.99308909999999995</v>
      </c>
      <c r="V15" s="2">
        <f>'Input data'!V15</f>
        <v>-1.145699</v>
      </c>
      <c r="W15" s="2">
        <f>'Input data'!W15</f>
        <v>-1.3113919999999999</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15.657</v>
      </c>
      <c r="E18" s="79">
        <f>'Input data'!E20</f>
        <v>15.804749999999999</v>
      </c>
      <c r="F18" s="79">
        <f>'Input data'!F20</f>
        <v>15.831990000000001</v>
      </c>
      <c r="G18" s="79">
        <f>'Input data'!G20</f>
        <v>15.751250000000001</v>
      </c>
      <c r="H18" s="79">
        <f>'Input data'!H20</f>
        <v>15.68426</v>
      </c>
      <c r="I18" s="79">
        <f>'Input data'!I20</f>
        <v>15.683599999999998</v>
      </c>
      <c r="J18" s="79">
        <f>'Input data'!J20</f>
        <v>15.77327</v>
      </c>
      <c r="K18" s="79">
        <f>'Input data'!K20</f>
        <v>15.917799999999998</v>
      </c>
      <c r="L18" s="79">
        <f>'Input data'!L20</f>
        <v>16.102689999999999</v>
      </c>
      <c r="M18" s="79">
        <f>'Input data'!M20</f>
        <v>16.290130000000001</v>
      </c>
      <c r="N18" s="79">
        <f>'Input data'!N20</f>
        <v>16.487660000000002</v>
      </c>
      <c r="O18" s="79">
        <f>'Input data'!O20</f>
        <v>16.680799999999998</v>
      </c>
      <c r="P18" s="79">
        <f>'Input data'!P20</f>
        <v>16.87556</v>
      </c>
      <c r="Q18" s="79">
        <f>'Input data'!Q20</f>
        <v>17.048379999999998</v>
      </c>
      <c r="R18" s="79">
        <f>'Input data'!R20</f>
        <v>17.213420000000003</v>
      </c>
      <c r="S18" s="79">
        <f>'Input data'!S20</f>
        <v>17.378629999999998</v>
      </c>
      <c r="T18" s="79">
        <f>'Input data'!T20</f>
        <v>17.541350000000001</v>
      </c>
      <c r="U18" s="79">
        <f>'Input data'!U20</f>
        <v>17.693180000000002</v>
      </c>
      <c r="V18" s="79">
        <f>'Input data'!V20</f>
        <v>17.836359999999999</v>
      </c>
      <c r="W18" s="79">
        <f>'Input data'!W20</f>
        <v>17.99015</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1.1620919999999999</v>
      </c>
      <c r="D19" s="79">
        <f>'Input data'!D26</f>
        <v>1.1207419999999999</v>
      </c>
      <c r="E19" s="79">
        <f>'Input data'!E26</f>
        <v>1.1188480000000001</v>
      </c>
      <c r="F19" s="79">
        <f>'Input data'!F26</f>
        <v>1.1169530000000001</v>
      </c>
      <c r="G19" s="79">
        <f>'Input data'!G26</f>
        <v>1.115059</v>
      </c>
      <c r="H19" s="79">
        <f>'Input data'!H26</f>
        <v>1.113165</v>
      </c>
      <c r="I19" s="79">
        <f>'Input data'!I26</f>
        <v>1.11127</v>
      </c>
      <c r="J19" s="79">
        <f>'Input data'!J26</f>
        <v>1.1093759999999999</v>
      </c>
      <c r="K19" s="79">
        <f>'Input data'!K26</f>
        <v>1.1074809999999999</v>
      </c>
      <c r="L19" s="79">
        <f>'Input data'!L26</f>
        <v>1.1055870000000001</v>
      </c>
      <c r="M19" s="79">
        <f>'Input data'!M26</f>
        <v>1.103693</v>
      </c>
      <c r="N19" s="79">
        <f>'Input data'!N26</f>
        <v>1.1017980000000001</v>
      </c>
      <c r="O19" s="79">
        <f>'Input data'!O26</f>
        <v>1.099904</v>
      </c>
      <c r="P19" s="79">
        <f>'Input data'!P26</f>
        <v>1.0980099999999999</v>
      </c>
      <c r="Q19" s="79">
        <f>'Input data'!Q26</f>
        <v>1.096115</v>
      </c>
      <c r="R19" s="79">
        <f>'Input data'!R26</f>
        <v>1.0942210000000001</v>
      </c>
      <c r="S19" s="79">
        <f>'Input data'!S26</f>
        <v>1.092327</v>
      </c>
      <c r="T19" s="79">
        <f>'Input data'!T26</f>
        <v>1.0904320000000001</v>
      </c>
      <c r="U19" s="79">
        <f>'Input data'!U26</f>
        <v>1.088538</v>
      </c>
      <c r="V19" s="79">
        <f>'Input data'!V26</f>
        <v>1.0866439999999999</v>
      </c>
      <c r="W19" s="79">
        <f>'Input data'!W26</f>
        <v>1.084749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63.703299999999999</v>
      </c>
      <c r="D23" s="78">
        <f>'Baseline NFPC'!D22</f>
        <v>64.582529761434998</v>
      </c>
      <c r="E23" s="78">
        <f>'Baseline NFPC'!E22</f>
        <v>63.874879608080029</v>
      </c>
      <c r="F23" s="78">
        <f>'Baseline NFPC'!F22</f>
        <v>64.793115494881178</v>
      </c>
      <c r="G23" s="23">
        <f>IF(AND(G50&gt;1,F50&gt;1),IF(AND(G50&gt;0,F50&gt;0),G27*(G51/100+1),0)+IF(G50&gt;0,F23*(1+G52/100),0)-F23*(1+'Input data'!G30/100),IF(G50=1,G27,F23*(1+G52/100)))</f>
        <v>66.079446737489505</v>
      </c>
      <c r="H23" s="23">
        <f>IF(AND(H50&gt;1,G50&gt;1),IF(AND(H50&gt;0,G50&gt;0),H27*(H51/100+1),0)+IF(H50&gt;0,G23*(1+H52/100),0)-G23*(1+'Input data'!H30/100),IF(H50=1,H27,G23*(1+H52/100)))</f>
        <v>67.969735875490613</v>
      </c>
      <c r="I23" s="23">
        <f>IF(AND(I50&gt;1,H50&gt;1),IF(AND(I50&gt;0,H50&gt;0),I27*(I51/100+1),0)+IF(I50&gt;0,H23*(1+I52/100),0)-H23*(1+'Input data'!I30/100),IF(I50=1,I27,H23*(1+I52/100)))</f>
        <v>70.160127224419455</v>
      </c>
      <c r="J23" s="23">
        <f>IF(AND(J50&gt;1,I50&gt;1),IF(AND(J50&gt;0,I50&gt;0),J27*(J51/100+1),0)+IF(J50&gt;0,I23*(1+J52/100),0)-I23*(1+'Input data'!J30/100),IF(J50=1,J27,I23*(1+J52/100)))</f>
        <v>71.983156042997138</v>
      </c>
      <c r="K23" s="23">
        <f>IF(AND(K50&gt;1,J50&gt;1),IF(AND(K50&gt;0,J50&gt;0),K27*(K51/100+1),0)+IF(K50&gt;0,J23*(1+K52/100),0)-J23*(1+'Input data'!K30/100),IF(K50=1,K27,J23*(1+K52/100)))</f>
        <v>73.327859704236715</v>
      </c>
      <c r="L23" s="23">
        <f>IF(AND(L50&gt;1,K50&gt;1),IF(AND(L50&gt;0,K50&gt;0),L27*(L51/100+1),0)+IF(L50&gt;0,K23*(1+L52/100),0)-K23*(1+'Input data'!L30/100),IF(L50=1,L27,K23*(1+L52/100)))</f>
        <v>74.653177174630741</v>
      </c>
      <c r="M23" s="23">
        <f>IF(AND(M50&gt;1,L50&gt;1),IF(AND(M50&gt;0,L50&gt;0),M27*(M51/100+1),0)+IF(M50&gt;0,L23*(1+M52/100),0)-L23*(1+'Input data'!M30/100),IF(M50=1,M27,L23*(1+M52/100)))</f>
        <v>75.947625940250262</v>
      </c>
      <c r="N23" s="23">
        <f>IF(AND(N50&gt;1,M50&gt;1),IF(AND(N50&gt;0,M50&gt;0),N27*(N51/100+1),0)+IF(N50&gt;0,M23*(1+N52/100),0)-M23*(1+'Input data'!N30/100),IF(N50=1,N27,M23*(1+N52/100)))</f>
        <v>77.207849200717135</v>
      </c>
      <c r="O23" s="23">
        <f>IF(AND(O50&gt;1,N50&gt;1),IF(AND(O50&gt;0,N50&gt;0),O27*(O51/100+1),0)+IF(O50&gt;0,N23*(1+O52/100),0)-N23*(1+'Input data'!O30/100),IF(O50=1,O27,N23*(1+O52/100)))</f>
        <v>78.486314673669511</v>
      </c>
      <c r="P23" s="23">
        <f>IF(AND(P50&gt;1,O50&gt;1),IF(AND(P50&gt;0,O50&gt;0),P27*(P51/100+1),0)+IF(P50&gt;0,O23*(1+P52/100),0)-O23*(1+'Input data'!P30/100),IF(P50=1,P27,O23*(1+P52/100)))</f>
        <v>79.82091715968555</v>
      </c>
      <c r="Q23" s="23">
        <f>IF(AND(Q50&gt;1,P50&gt;1),IF(AND(Q50&gt;0,P50&gt;0),Q27*(Q51/100+1),0)+IF(Q50&gt;0,P23*(1+Q52/100),0)-P23*(1+'Input data'!Q30/100),IF(Q50=1,Q27,P23*(1+Q52/100)))</f>
        <v>81.213777796356965</v>
      </c>
      <c r="R23" s="23">
        <f>IF(AND(R50&gt;1,Q50&gt;1),IF(AND(R50&gt;0,Q50&gt;0),R27*(R51/100+1),0)+IF(R50&gt;0,Q23*(1+R52/100),0)-Q23*(1+'Input data'!R30/100),IF(R50=1,R27,Q23*(1+R52/100)))</f>
        <v>82.667131647671667</v>
      </c>
      <c r="S23" s="23">
        <f>IF(AND(S50&gt;1,R50&gt;1),IF(AND(S50&gt;0,R50&gt;0),S27*(S51/100+1),0)+IF(S50&gt;0,R23*(1+S52/100),0)-R23*(1+'Input data'!S30/100),IF(S50=1,S27,R23*(1+S52/100)))</f>
        <v>84.217767809594719</v>
      </c>
      <c r="T23" s="23">
        <f>IF(AND(T50&gt;1,S50&gt;1),IF(AND(T50&gt;0,S50&gt;0),T27*(T51/100+1),0)+IF(T50&gt;0,S23*(1+T52/100),0)-S23*(1+'Input data'!T30/100),IF(T50=1,T27,S23*(1+T52/100)))</f>
        <v>85.894960444634407</v>
      </c>
      <c r="U23" s="23">
        <f>IF(AND(U50&gt;1,T50&gt;1),IF(AND(U50&gt;0,T50&gt;0),U27*(U51/100+1),0)+IF(U50&gt;0,T23*(1+U52/100),0)-T23*(1+'Input data'!U30/100),IF(U50=1,U27,T23*(1+U52/100)))</f>
        <v>87.723436530855494</v>
      </c>
      <c r="V23" s="23">
        <f>IF(AND(V50&gt;1,U50&gt;1),IF(AND(V50&gt;0,U50&gt;0),V27*(V51/100+1),0)+IF(V50&gt;0,U23*(1+V52/100),0)-U23*(1+'Input data'!V30/100),IF(V50=1,V27,U23*(1+V52/100)))</f>
        <v>89.696482239339076</v>
      </c>
      <c r="W23" s="23">
        <f>IF(AND(W50&gt;1,V50&gt;1),IF(AND(W50&gt;0,V50&gt;0),W27*(W51/100+1),0)+IF(W50&gt;0,V23*(1+W52/100),0)-V23*(1+'Input data'!W30/100),IF(W50=1,W27,V23*(1+W52/100)))</f>
        <v>91.693621058568723</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7.1684039999999998</v>
      </c>
      <c r="D24" s="78">
        <f>'Baseline NFPC'!D23</f>
        <v>1.3801950000000001</v>
      </c>
      <c r="E24" s="78">
        <f>'Baseline NFPC'!E23</f>
        <v>-1.0957300000000001</v>
      </c>
      <c r="F24" s="78">
        <f>'Baseline NFPC'!F23</f>
        <v>1.437554</v>
      </c>
      <c r="G24" s="23">
        <f t="shared" ref="G24:S24" si="2">100*(G23/F23-1)</f>
        <v>1.9852900000000062</v>
      </c>
      <c r="H24" s="23">
        <f t="shared" si="2"/>
        <v>2.8606310000000024</v>
      </c>
      <c r="I24" s="23">
        <f t="shared" si="2"/>
        <v>3.2225979999999987</v>
      </c>
      <c r="J24" s="23">
        <f t="shared" si="2"/>
        <v>2.598382999999993</v>
      </c>
      <c r="K24" s="23">
        <f t="shared" si="2"/>
        <v>1.8680809999999992</v>
      </c>
      <c r="L24" s="23">
        <f t="shared" si="2"/>
        <v>1.8073860000000108</v>
      </c>
      <c r="M24" s="23">
        <f t="shared" si="2"/>
        <v>1.7339500000000063</v>
      </c>
      <c r="N24" s="23">
        <f t="shared" si="2"/>
        <v>1.6593319999999911</v>
      </c>
      <c r="O24" s="23">
        <f t="shared" si="2"/>
        <v>1.6558749999999955</v>
      </c>
      <c r="P24" s="23">
        <f t="shared" si="2"/>
        <v>1.7004269999999932</v>
      </c>
      <c r="Q24" s="23">
        <f t="shared" si="2"/>
        <v>1.7449819999999949</v>
      </c>
      <c r="R24" s="23">
        <f t="shared" si="2"/>
        <v>1.7895409999999945</v>
      </c>
      <c r="S24" s="23">
        <f t="shared" si="2"/>
        <v>1.8757590000000102</v>
      </c>
      <c r="T24" s="23">
        <f>100*(T23/S23-1)</f>
        <v>1.9914949999999987</v>
      </c>
      <c r="U24" s="23">
        <f t="shared" ref="U24:W24" si="3">100*(U23/T23-1)</f>
        <v>2.1287349999999927</v>
      </c>
      <c r="V24" s="23">
        <f t="shared" si="3"/>
        <v>2.2491660000000024</v>
      </c>
      <c r="W24" s="23">
        <f t="shared" si="3"/>
        <v>2.2265519999999928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3"/>
      <c r="B26" s="19" t="s">
        <v>62</v>
      </c>
      <c r="C26" s="152"/>
      <c r="D26" s="152"/>
      <c r="E26" s="152"/>
      <c r="F26" s="152"/>
    </row>
    <row r="27" spans="1:50" x14ac:dyDescent="0.2">
      <c r="B27" s="15" t="s">
        <v>39</v>
      </c>
      <c r="C27" s="23">
        <f>'Input data'!C34</f>
        <v>63.190869999999997</v>
      </c>
      <c r="D27" s="78">
        <f>+C27*(1+'Input data'!D33/100)</f>
        <v>64.457839360595599</v>
      </c>
      <c r="E27" s="78">
        <f>+D27*(1+'Input data'!E33/100)</f>
        <v>65.635468615832224</v>
      </c>
      <c r="F27" s="78">
        <f>+E27*(1+'Input data'!F33/100)</f>
        <v>66.855040601828321</v>
      </c>
      <c r="G27" s="23">
        <f>+F27*(1+'Input data'!G33/100)</f>
        <v>68.050190111806245</v>
      </c>
      <c r="H27" s="23">
        <f>+G27*(1+'Input data'!H33/100)</f>
        <v>69.307851534334787</v>
      </c>
      <c r="I27" s="23">
        <f>+H27*(1+'Input data'!I33/100)</f>
        <v>70.614574143299464</v>
      </c>
      <c r="J27" s="23">
        <f>+I27*(1+'Input data'!J33/100)</f>
        <v>71.983154498624998</v>
      </c>
      <c r="K27" s="23">
        <f>+J27*(1+'Input data'!K33/100)</f>
        <v>73.327861730172174</v>
      </c>
      <c r="L27" s="23">
        <f>+K27*(1+'Input data'!L33/100)</f>
        <v>74.653179970461281</v>
      </c>
      <c r="M27" s="23">
        <f>+L27*(1+'Input data'!M33/100)</f>
        <v>75.947631024154504</v>
      </c>
      <c r="N27" s="23">
        <f>+M27*(1+'Input data'!N33/100)</f>
        <v>77.207853609503914</v>
      </c>
      <c r="O27" s="23">
        <f>+N27*(1+'Input data'!O33/100)</f>
        <v>78.486317611303221</v>
      </c>
      <c r="P27" s="23">
        <f>+O27*(1+'Input data'!P33/100)</f>
        <v>79.820920932134754</v>
      </c>
      <c r="Q27" s="23">
        <f>+P27*(1+'Input data'!Q33/100)</f>
        <v>81.213783231053156</v>
      </c>
      <c r="R27" s="23">
        <f>+Q27*(1+'Input data'!R33/100)</f>
        <v>82.667136367486151</v>
      </c>
      <c r="S27" s="23">
        <f>+R27*(1+'Input data'!S33/100)</f>
        <v>84.217775097955624</v>
      </c>
      <c r="T27" s="23">
        <f>+S27*(1+'Input data'!T33/100)</f>
        <v>85.894969562498162</v>
      </c>
      <c r="U27" s="23">
        <f>+T27*(1+'Input data'!U33/100)</f>
        <v>87.723444983864709</v>
      </c>
      <c r="V27" s="23">
        <f>+U27*(1+'Input data'!V33/100)</f>
        <v>89.696487373532705</v>
      </c>
      <c r="W27" s="23">
        <f>+V27*(1+'Input data'!W33/100)</f>
        <v>91.693624513148094</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0.81092410976459917</v>
      </c>
      <c r="D30" s="78">
        <f t="shared" ref="D30:W30" si="4">100*(D23/D27-1)</f>
        <v>0.19344489681363264</v>
      </c>
      <c r="E30" s="78">
        <f t="shared" si="4"/>
        <v>-2.6823744004282446</v>
      </c>
      <c r="F30" s="78">
        <f t="shared" si="4"/>
        <v>-3.0841729933685169</v>
      </c>
      <c r="G30" s="23">
        <f t="shared" si="4"/>
        <v>-2.8960145020591632</v>
      </c>
      <c r="H30" s="23">
        <f t="shared" si="4"/>
        <v>-1.9306840844450002</v>
      </c>
      <c r="I30" s="23">
        <f t="shared" si="4"/>
        <v>-0.64355966794870101</v>
      </c>
      <c r="J30" s="23">
        <f t="shared" si="4"/>
        <v>2.1454632737061274E-6</v>
      </c>
      <c r="K30" s="23">
        <f t="shared" si="4"/>
        <v>-2.7628454080108611E-6</v>
      </c>
      <c r="L30" s="23">
        <f t="shared" si="4"/>
        <v>-3.7450923584536611E-6</v>
      </c>
      <c r="M30" s="23">
        <f>100*(M23/M27-1)</f>
        <v>-6.6939602638704798E-6</v>
      </c>
      <c r="N30" s="23">
        <f t="shared" si="4"/>
        <v>-5.7102827910604503E-6</v>
      </c>
      <c r="O30" s="23">
        <f t="shared" si="4"/>
        <v>-3.742860921196467E-6</v>
      </c>
      <c r="P30" s="23">
        <f t="shared" si="4"/>
        <v>-4.7261409119592201E-6</v>
      </c>
      <c r="Q30" s="23">
        <f t="shared" si="4"/>
        <v>-6.691839704586755E-6</v>
      </c>
      <c r="R30" s="23">
        <f t="shared" si="4"/>
        <v>-5.7094205696550659E-6</v>
      </c>
      <c r="S30" s="23">
        <f t="shared" si="4"/>
        <v>-8.6541836252784776E-6</v>
      </c>
      <c r="T30" s="23">
        <f t="shared" si="4"/>
        <v>-1.061513125177882E-5</v>
      </c>
      <c r="U30" s="23">
        <f t="shared" si="4"/>
        <v>-9.6359749846008924E-6</v>
      </c>
      <c r="V30" s="23">
        <f t="shared" si="4"/>
        <v>-5.7239628703520395E-6</v>
      </c>
      <c r="W30" s="23">
        <f t="shared" si="4"/>
        <v>-3.7675240704970747E-6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5">100*((1+C24/100)*(1+C42/100)-1)</f>
        <v>12.14517500799117</v>
      </c>
      <c r="D33" s="2">
        <f t="shared" si="5"/>
        <v>7.1421769072991026</v>
      </c>
      <c r="E33" s="2">
        <f t="shared" si="5"/>
        <v>2.2967181103664025</v>
      </c>
      <c r="F33" s="2">
        <f>100*((1+F24/100)*(1+F42/100)-1)</f>
        <v>5.4814929446546756</v>
      </c>
      <c r="G33" s="1">
        <f>100*((1+G24/100)*(1+G42/100)-1)</f>
        <v>4.5708710448721046</v>
      </c>
      <c r="H33" s="1">
        <f t="shared" si="5"/>
        <v>5.4703007402810311</v>
      </c>
      <c r="I33" s="1">
        <f t="shared" si="5"/>
        <v>5.8433544749267652</v>
      </c>
      <c r="J33" s="1">
        <f t="shared" si="5"/>
        <v>5.2051828368272934</v>
      </c>
      <c r="K33" s="1">
        <f t="shared" si="5"/>
        <v>4.4582037851858436</v>
      </c>
      <c r="L33" s="1">
        <f t="shared" si="5"/>
        <v>4.3978427401841769</v>
      </c>
      <c r="M33" s="1">
        <f t="shared" si="5"/>
        <v>4.3244140312588719</v>
      </c>
      <c r="N33" s="1">
        <f t="shared" si="5"/>
        <v>4.2497704949920667</v>
      </c>
      <c r="O33" s="1">
        <f t="shared" si="5"/>
        <v>4.2480998125000058</v>
      </c>
      <c r="P33" s="1">
        <f t="shared" si="5"/>
        <v>4.2658202710750048</v>
      </c>
      <c r="Q33" s="1">
        <f t="shared" si="5"/>
        <v>4.2835193009000072</v>
      </c>
      <c r="R33" s="1">
        <f t="shared" si="5"/>
        <v>4.3011979241750042</v>
      </c>
      <c r="S33" s="1">
        <f t="shared" si="5"/>
        <v>4.3615275196000169</v>
      </c>
      <c r="T33" s="1">
        <f t="shared" si="5"/>
        <v>4.4520398168749864</v>
      </c>
      <c r="U33" s="1">
        <f>100*((1+U24/100)*(1+U42/100)-1)</f>
        <v>4.5645053297499905</v>
      </c>
      <c r="V33" s="1">
        <f t="shared" si="5"/>
        <v>4.659690088449997</v>
      </c>
      <c r="W33" s="1">
        <f t="shared" si="5"/>
        <v>4.6084306615999937</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0.72664200000000001</v>
      </c>
      <c r="D36" s="78">
        <f>'Input data'!D37</f>
        <v>0.70384469999999999</v>
      </c>
      <c r="E36" s="78">
        <f>'Input data'!E37</f>
        <v>1.2501800000000001</v>
      </c>
      <c r="F36" s="78">
        <f>'Input data'!F37</f>
        <v>1.5276190000000001</v>
      </c>
      <c r="G36" s="78">
        <f>'Input data'!G37</f>
        <v>1.6779250000000001</v>
      </c>
      <c r="H36" s="23">
        <f t="shared" ref="H36:W36" si="6">H101</f>
        <v>1.8076504159462488</v>
      </c>
      <c r="I36" s="23">
        <f t="shared" si="6"/>
        <v>1.915575898410242</v>
      </c>
      <c r="J36" s="23">
        <f t="shared" si="6"/>
        <v>2.001132910047454</v>
      </c>
      <c r="K36" s="23">
        <f t="shared" si="6"/>
        <v>2.0777696003303627</v>
      </c>
      <c r="L36" s="23">
        <f t="shared" si="6"/>
        <v>2.160162698137885</v>
      </c>
      <c r="M36" s="23">
        <f t="shared" si="6"/>
        <v>2.2473481043520294</v>
      </c>
      <c r="N36" s="23">
        <f t="shared" si="6"/>
        <v>2.3379592142661361</v>
      </c>
      <c r="O36" s="23">
        <f t="shared" si="6"/>
        <v>2.4309285943829524</v>
      </c>
      <c r="P36" s="23">
        <f t="shared" si="6"/>
        <v>2.5242666869474162</v>
      </c>
      <c r="Q36" s="23">
        <f t="shared" si="6"/>
        <v>2.6119127579871693</v>
      </c>
      <c r="R36" s="23">
        <f t="shared" si="6"/>
        <v>2.6941866269715082</v>
      </c>
      <c r="S36" s="23">
        <f t="shared" si="6"/>
        <v>2.7716191422797687</v>
      </c>
      <c r="T36" s="23">
        <f t="shared" si="6"/>
        <v>2.8445908556345119</v>
      </c>
      <c r="U36" s="23">
        <f t="shared" si="6"/>
        <v>2.9137264198070763</v>
      </c>
      <c r="V36" s="23">
        <f t="shared" si="6"/>
        <v>2.9793309473288856</v>
      </c>
      <c r="W36" s="23">
        <f t="shared" si="6"/>
        <v>3.0416416440119143</v>
      </c>
    </row>
    <row r="37" spans="2:51" x14ac:dyDescent="0.2">
      <c r="B37" s="21" t="s">
        <v>66</v>
      </c>
      <c r="C37" s="1"/>
      <c r="D37" s="2">
        <f>'Input data'!D$39</f>
        <v>1.73</v>
      </c>
      <c r="E37" s="2">
        <f>'Input data'!E$39</f>
        <v>2.97</v>
      </c>
      <c r="F37" s="138">
        <f>'Input data'!F$39</f>
        <v>2.8695020000000002</v>
      </c>
      <c r="G37" s="138">
        <f>'Input data'!G$39</f>
        <v>2.8953579999999999</v>
      </c>
      <c r="H37" s="1">
        <f>G37+($O$37-$G$37)/($O$10-$G$10)</f>
        <v>2.9340169999999999</v>
      </c>
      <c r="I37" s="1">
        <f t="shared" ref="I37:N37" si="7">H37+($O$37-$G$37)/($O$10-$G$10)</f>
        <v>2.9726759999999999</v>
      </c>
      <c r="J37" s="1">
        <f t="shared" si="7"/>
        <v>3.0113349999999999</v>
      </c>
      <c r="K37" s="1">
        <f t="shared" si="7"/>
        <v>3.0499939999999999</v>
      </c>
      <c r="L37" s="1">
        <f t="shared" si="7"/>
        <v>3.0886529999999999</v>
      </c>
      <c r="M37" s="1">
        <f t="shared" si="7"/>
        <v>3.1273119999999999</v>
      </c>
      <c r="N37" s="1">
        <f t="shared" si="7"/>
        <v>3.1659709999999999</v>
      </c>
      <c r="O37" s="172">
        <f>'Input data'!$C$52</f>
        <v>3.2046299999999999</v>
      </c>
      <c r="P37" s="1">
        <f>'Baseline NFPC'!P36</f>
        <v>3.2443985</v>
      </c>
      <c r="Q37" s="1">
        <f>'Baseline NFPC'!Q36</f>
        <v>3.2841670000000001</v>
      </c>
      <c r="R37" s="1">
        <f>'Baseline NFPC'!R36</f>
        <v>3.3239354999999997</v>
      </c>
      <c r="S37" s="1">
        <f>'Baseline NFPC'!S36</f>
        <v>3.3637039999999998</v>
      </c>
      <c r="T37" s="1">
        <f>'Baseline NFPC'!T36</f>
        <v>3.4034724999999999</v>
      </c>
      <c r="U37" s="1">
        <f>'Baseline NFPC'!U36</f>
        <v>3.443241</v>
      </c>
      <c r="V37" s="1">
        <f>'Baseline NFPC'!V36</f>
        <v>3.4830095000000001</v>
      </c>
      <c r="W37" s="1">
        <f>'Baseline NFPC'!W36</f>
        <v>3.5227779999999997</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8">H38+($O$38-$G$38)/($O$10-$G$10)</f>
        <v>2.7938037499999995</v>
      </c>
      <c r="J38" s="1">
        <f t="shared" si="8"/>
        <v>2.7825181249999993</v>
      </c>
      <c r="K38" s="1">
        <f t="shared" si="8"/>
        <v>2.7712324999999991</v>
      </c>
      <c r="L38" s="1">
        <f t="shared" si="8"/>
        <v>2.7599468749999989</v>
      </c>
      <c r="M38" s="1">
        <f t="shared" si="8"/>
        <v>2.7486612499999987</v>
      </c>
      <c r="N38" s="1">
        <f t="shared" si="8"/>
        <v>2.7373756249999985</v>
      </c>
      <c r="O38" s="172">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1E-3</v>
      </c>
      <c r="D39" s="23">
        <f>'Baseline NFPC'!D38</f>
        <v>7.0175440000000006E-2</v>
      </c>
      <c r="E39" s="23">
        <f>'Baseline NFPC'!E38</f>
        <v>0.12698413</v>
      </c>
      <c r="F39" s="23">
        <f>'Baseline NFPC'!F38</f>
        <v>1E-3</v>
      </c>
      <c r="G39" s="23">
        <f>'Baseline NFPC'!G38</f>
        <v>8.824633333333335E-3</v>
      </c>
      <c r="H39" s="23">
        <f>'Baseline NFPC'!H38</f>
        <v>1.6649266666666669E-2</v>
      </c>
      <c r="I39" s="23">
        <f>'Baseline NFPC'!I38</f>
        <v>2.4473900000000003E-2</v>
      </c>
      <c r="J39" s="23">
        <f>'Baseline NFPC'!J38</f>
        <v>3.2298533333333337E-2</v>
      </c>
      <c r="K39" s="23">
        <f>'Baseline NFPC'!K38</f>
        <v>4.0123166666666668E-2</v>
      </c>
      <c r="L39" s="23">
        <f>'Baseline NFPC'!L38</f>
        <v>4.7947800000000006E-2</v>
      </c>
      <c r="M39" s="23">
        <f>'Baseline NFPC'!M38</f>
        <v>5.5772433333333343E-2</v>
      </c>
      <c r="N39" s="23">
        <f>'Baseline NFPC'!N38</f>
        <v>6.3597066666666674E-2</v>
      </c>
      <c r="O39" s="23">
        <f>'Baseline NFPC'!O38</f>
        <v>7.1421700000000005E-2</v>
      </c>
      <c r="P39" s="23">
        <f>'Baseline NFPC'!P38</f>
        <v>7.1421700000000005E-2</v>
      </c>
      <c r="Q39" s="23">
        <f>'Baseline NFPC'!Q38</f>
        <v>7.1421700000000005E-2</v>
      </c>
      <c r="R39" s="23">
        <f>'Baseline NFPC'!R38</f>
        <v>7.1421700000000005E-2</v>
      </c>
      <c r="S39" s="23">
        <f>'Baseline NFPC'!S38</f>
        <v>7.1421700000000005E-2</v>
      </c>
      <c r="T39" s="23">
        <f>'Baseline NFPC'!T38</f>
        <v>7.1421700000000005E-2</v>
      </c>
      <c r="U39" s="23">
        <f>'Baseline NFPC'!U38</f>
        <v>7.1421700000000005E-2</v>
      </c>
      <c r="V39" s="23">
        <f>'Baseline NFPC'!V38</f>
        <v>7.1421700000000005E-2</v>
      </c>
      <c r="W39" s="23">
        <f>'Baseline NFPC'!W38</f>
        <v>7.1421700000000005E-2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4.6438790000000001</v>
      </c>
      <c r="D42" s="2">
        <f>'Input data'!D42</f>
        <v>5.6835380000000004</v>
      </c>
      <c r="E42" s="2">
        <f>'Input data'!E42</f>
        <v>3.4300320000000002</v>
      </c>
      <c r="F42" s="2">
        <f>'Input data'!F42</f>
        <v>3.9866290000000002</v>
      </c>
      <c r="G42" s="2">
        <f>'Input data'!G42</f>
        <v>2.5352489999999999</v>
      </c>
      <c r="H42" s="1">
        <f>'Baseline NFPC'!H41</f>
        <v>2.5370928749999999</v>
      </c>
      <c r="I42" s="1">
        <f>'Baseline NFPC'!I41</f>
        <v>2.53893675</v>
      </c>
      <c r="J42" s="1">
        <f>'Baseline NFPC'!J41</f>
        <v>2.540780625</v>
      </c>
      <c r="K42" s="1">
        <f>'Baseline NFPC'!K41</f>
        <v>2.5426244999999996</v>
      </c>
      <c r="L42" s="1">
        <f>'Baseline NFPC'!L41</f>
        <v>2.5444683749999997</v>
      </c>
      <c r="M42" s="1">
        <f>'Baseline NFPC'!M41</f>
        <v>2.5463122499999997</v>
      </c>
      <c r="N42" s="1">
        <f>'Baseline NFPC'!N41</f>
        <v>2.5481561249999998</v>
      </c>
      <c r="O42" s="172">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0.99999990000000005</v>
      </c>
      <c r="D43" s="1">
        <f>'Baseline NFPC'!D42</f>
        <v>1</v>
      </c>
      <c r="E43" s="1">
        <f>'Baseline NFPC'!E42</f>
        <v>1</v>
      </c>
      <c r="F43" s="1">
        <f>'Baseline NFPC'!F42</f>
        <v>0.99999990000000005</v>
      </c>
      <c r="G43" s="1">
        <f>'Baseline NFPC'!G42</f>
        <v>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190</v>
      </c>
      <c r="C48" s="42">
        <f>'Input data'!C50</f>
        <v>0.46200000000000002</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9">IF(C50=4,2/3*C30,IF(C50=3,1/3*B30,0))</f>
        <v>0</v>
      </c>
      <c r="E51" s="23">
        <f t="shared" si="9"/>
        <v>0</v>
      </c>
      <c r="F51" s="23">
        <f t="shared" si="9"/>
        <v>0</v>
      </c>
      <c r="G51" s="23">
        <f t="shared" si="9"/>
        <v>0</v>
      </c>
      <c r="H51" s="23">
        <f t="shared" si="9"/>
        <v>0</v>
      </c>
      <c r="I51" s="23">
        <f t="shared" si="9"/>
        <v>0</v>
      </c>
      <c r="J51" s="23">
        <f t="shared" si="9"/>
        <v>0</v>
      </c>
      <c r="K51" s="23">
        <f t="shared" si="9"/>
        <v>0</v>
      </c>
      <c r="L51" s="23">
        <f t="shared" si="9"/>
        <v>0</v>
      </c>
      <c r="M51" s="23">
        <f t="shared" si="9"/>
        <v>0</v>
      </c>
      <c r="N51" s="23">
        <f t="shared" si="9"/>
        <v>0</v>
      </c>
      <c r="O51" s="23">
        <f t="shared" si="9"/>
        <v>0</v>
      </c>
      <c r="P51" s="23">
        <f t="shared" si="9"/>
        <v>0</v>
      </c>
      <c r="Q51" s="23">
        <f t="shared" si="9"/>
        <v>0</v>
      </c>
      <c r="R51" s="23">
        <f t="shared" si="9"/>
        <v>0</v>
      </c>
      <c r="S51" s="23">
        <f t="shared" si="9"/>
        <v>0</v>
      </c>
      <c r="T51" s="23">
        <f t="shared" si="9"/>
        <v>0</v>
      </c>
      <c r="U51" s="23">
        <f t="shared" si="9"/>
        <v>0</v>
      </c>
      <c r="V51" s="23">
        <f t="shared" si="9"/>
        <v>0</v>
      </c>
      <c r="W51" s="23">
        <f t="shared" si="9"/>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1.3801950000000001</v>
      </c>
      <c r="E52" s="23">
        <f>'Input data'!E30-$C$47*((E12-D12)-('Input data'!E13-'Input data'!D13))</f>
        <v>-1.0957300000000001</v>
      </c>
      <c r="F52" s="23">
        <f>'Input data'!F30-$C$47*((F12-E12)-('Input data'!F13-'Input data'!E13))</f>
        <v>1.437554</v>
      </c>
      <c r="G52" s="23">
        <f>'Input data'!G30-$C$47*((G12-F12))</f>
        <v>1.98529</v>
      </c>
      <c r="H52" s="23">
        <f>'Input data'!H30-$C$47*((H12-G12))</f>
        <v>2.8606310000000001</v>
      </c>
      <c r="I52" s="23">
        <f>'Input data'!I30-$C$47*((I12-H12))</f>
        <v>3.2225980000000001</v>
      </c>
      <c r="J52" s="23">
        <f>'Input data'!J30-$C$47*((J12-I12))</f>
        <v>2.5983830000000001</v>
      </c>
      <c r="K52" s="23">
        <f>'Input data'!K30-$C$47*((K12-J12))</f>
        <v>1.8680810000000001</v>
      </c>
      <c r="L52" s="23">
        <f>'Input data'!L30-$C$47*((L12-K12))</f>
        <v>1.8073859999999999</v>
      </c>
      <c r="M52" s="23">
        <f>'Input data'!M30-$C$47*((M12-L12))</f>
        <v>1.7339500000000001</v>
      </c>
      <c r="N52" s="23">
        <f>'Input data'!N30-$C$47*((N12-M12))</f>
        <v>1.659332</v>
      </c>
      <c r="O52" s="23">
        <f>'Input data'!O30-$C$47*((O12-N12))</f>
        <v>1.655875</v>
      </c>
      <c r="P52" s="23">
        <f>'Input data'!P30-$C$47*((P12-O12))</f>
        <v>1.7004269999999999</v>
      </c>
      <c r="Q52" s="23">
        <f>'Input data'!Q30-$C$47*((Q12-P12))</f>
        <v>1.744982</v>
      </c>
      <c r="R52" s="23">
        <f>'Input data'!R30-$C$47*((R12-Q12))</f>
        <v>1.789541</v>
      </c>
      <c r="S52" s="23">
        <f>'Input data'!S30-$C$47*((S12-R12))</f>
        <v>1.875759</v>
      </c>
      <c r="T52" s="23">
        <f>'Input data'!T30-$C$47*((T12-S12))</f>
        <v>1.991495</v>
      </c>
      <c r="U52" s="23">
        <f>'Input data'!U30-$C$47*((U12-T12))</f>
        <v>2.1287349999999998</v>
      </c>
      <c r="V52" s="23">
        <f>'Input data'!V30-$C$47*((V12-U12))</f>
        <v>2.2491660000000002</v>
      </c>
      <c r="W52" s="23">
        <f>'Input data'!W30-$C$47*((W12-V12))</f>
        <v>2.2265519999999999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24.503830000000001</v>
      </c>
      <c r="D57" s="32">
        <f>+C57+D58</f>
        <v>24.733491557672103</v>
      </c>
      <c r="E57" s="32">
        <f>+D57+E58</f>
        <v>25.669613830669952</v>
      </c>
      <c r="F57" s="32">
        <f>+E57+F58</f>
        <v>27.071291453606207</v>
      </c>
      <c r="G57" s="32">
        <f>+F57+G58</f>
        <v>28.628811353557538</v>
      </c>
      <c r="H57" s="32">
        <f t="shared" ref="H57:S57" si="10">+G57+H58</f>
        <v>29.434736131451967</v>
      </c>
      <c r="I57" s="32">
        <f t="shared" si="10"/>
        <v>29.446188536480143</v>
      </c>
      <c r="J57" s="32">
        <f t="shared" si="10"/>
        <v>29.242245472814364</v>
      </c>
      <c r="K57" s="32">
        <f t="shared" si="10"/>
        <v>29.283214683409046</v>
      </c>
      <c r="L57" s="32">
        <f t="shared" si="10"/>
        <v>29.385673711227003</v>
      </c>
      <c r="M57" s="32">
        <f t="shared" si="10"/>
        <v>29.551479679620723</v>
      </c>
      <c r="N57" s="32">
        <f t="shared" si="10"/>
        <v>29.789676192438083</v>
      </c>
      <c r="O57" s="32">
        <f t="shared" si="10"/>
        <v>30.069320820586011</v>
      </c>
      <c r="P57" s="32">
        <f t="shared" si="10"/>
        <v>30.383810480391688</v>
      </c>
      <c r="Q57" s="32">
        <f t="shared" si="10"/>
        <v>30.722119367867833</v>
      </c>
      <c r="R57" s="32">
        <f t="shared" si="10"/>
        <v>31.082754023138385</v>
      </c>
      <c r="S57" s="32">
        <f t="shared" si="10"/>
        <v>31.445144526745747</v>
      </c>
      <c r="T57" s="32">
        <f>+S57+T58</f>
        <v>31.807566807367863</v>
      </c>
      <c r="U57" s="32">
        <f>+T57+U58</f>
        <v>32.155375202813921</v>
      </c>
      <c r="V57" s="32">
        <f t="shared" ref="V57:W57" si="11">+U57+V58</f>
        <v>32.481528507307431</v>
      </c>
      <c r="W57" s="32">
        <f t="shared" si="11"/>
        <v>32.827445009787084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0.22966155767210172</v>
      </c>
      <c r="E58" s="33">
        <f>-E59+E67+E72</f>
        <v>0.93612227299784911</v>
      </c>
      <c r="F58" s="33">
        <f>-F59+F67+F72</f>
        <v>1.4016776229362551</v>
      </c>
      <c r="G58" s="33">
        <f>-G59+G67+G72</f>
        <v>1.5575198999513318</v>
      </c>
      <c r="H58" s="33">
        <f t="shared" ref="H58:S58" si="12">-H59+H67+H72</f>
        <v>0.80592477789443029</v>
      </c>
      <c r="I58" s="33">
        <f t="shared" si="12"/>
        <v>1.1452405028175572E-2</v>
      </c>
      <c r="J58" s="33">
        <f t="shared" si="12"/>
        <v>-0.20394306366578041</v>
      </c>
      <c r="K58" s="33">
        <f t="shared" si="12"/>
        <v>4.0969210594683281E-2</v>
      </c>
      <c r="L58" s="33">
        <f t="shared" si="12"/>
        <v>0.10245902781795707</v>
      </c>
      <c r="M58" s="33">
        <f t="shared" si="12"/>
        <v>0.16580596839371881</v>
      </c>
      <c r="N58" s="33">
        <f t="shared" si="12"/>
        <v>0.23819651281736179</v>
      </c>
      <c r="O58" s="33">
        <f t="shared" si="12"/>
        <v>0.27964462814792884</v>
      </c>
      <c r="P58" s="33">
        <f t="shared" si="12"/>
        <v>0.31448965980567589</v>
      </c>
      <c r="Q58" s="33">
        <f t="shared" si="12"/>
        <v>0.33830888747614468</v>
      </c>
      <c r="R58" s="33">
        <f t="shared" si="12"/>
        <v>0.3606346552705525</v>
      </c>
      <c r="S58" s="33">
        <f t="shared" si="12"/>
        <v>0.36239050360736158</v>
      </c>
      <c r="T58" s="33">
        <f>-T59+T67+T72</f>
        <v>0.36242228062211612</v>
      </c>
      <c r="U58" s="33">
        <f t="shared" ref="U58:W58" si="13">-U59+U67+U72</f>
        <v>0.34780839544605957</v>
      </c>
      <c r="V58" s="33">
        <f t="shared" si="13"/>
        <v>0.32615330449350854</v>
      </c>
      <c r="W58" s="33">
        <f t="shared" si="13"/>
        <v>0.34591650247965267</v>
      </c>
    </row>
    <row r="59" spans="2:48" outlineLevel="1" x14ac:dyDescent="0.2">
      <c r="B59" s="65" t="s">
        <v>78</v>
      </c>
      <c r="C59" s="34"/>
      <c r="D59" s="34">
        <f>D60+D61-D62-D63-D64-D65-D66</f>
        <v>-0.18872855767210173</v>
      </c>
      <c r="E59" s="34">
        <f>E60+E61-E62-E63-E64-E65-E66</f>
        <v>-0.94972017299784905</v>
      </c>
      <c r="F59" s="34">
        <f t="shared" ref="F59:R59" si="14">F60+F61-F62-F63-F64-F65-F66</f>
        <v>-1.3271848229362551</v>
      </c>
      <c r="G59" s="34">
        <f t="shared" si="14"/>
        <v>-1.2402555999513336</v>
      </c>
      <c r="H59" s="34">
        <f t="shared" si="14"/>
        <v>-0.79427294701359008</v>
      </c>
      <c r="I59" s="34">
        <f t="shared" si="14"/>
        <v>-0.1996214665922999</v>
      </c>
      <c r="J59" s="34">
        <f t="shared" si="14"/>
        <v>9.7704091204032451E-2</v>
      </c>
      <c r="K59" s="34">
        <f t="shared" si="14"/>
        <v>-4.8723176434576312E-2</v>
      </c>
      <c r="L59" s="34">
        <f t="shared" si="14"/>
        <v>-0.23550763023266835</v>
      </c>
      <c r="M59" s="34">
        <f t="shared" si="14"/>
        <v>-0.42484299260964298</v>
      </c>
      <c r="N59" s="34">
        <f t="shared" si="14"/>
        <v>-0.62426753815065095</v>
      </c>
      <c r="O59" s="34">
        <f t="shared" si="14"/>
        <v>-0.81930062920174329</v>
      </c>
      <c r="P59" s="34">
        <f t="shared" si="14"/>
        <v>-1.0159550834771014</v>
      </c>
      <c r="Q59" s="34">
        <f t="shared" si="14"/>
        <v>-1.1906709916299414</v>
      </c>
      <c r="R59" s="34">
        <f t="shared" si="14"/>
        <v>-1.3576045377523056</v>
      </c>
      <c r="S59" s="34">
        <f>S60+S61-S62-S63-S64-S65-S66</f>
        <v>-1.5247098982328322</v>
      </c>
      <c r="T59" s="34">
        <f>T60+T61-T62-T63-T64-T65-T66</f>
        <v>-1.6893258041906394</v>
      </c>
      <c r="U59" s="34">
        <f>U60+U61-U62-U63-U64-U65-U66</f>
        <v>-1.8430493518204443</v>
      </c>
      <c r="V59" s="34">
        <f t="shared" ref="V59:W59" si="15">V60+V61-V62-V63-V64-V65-V66</f>
        <v>-1.9881215444708451</v>
      </c>
      <c r="W59" s="34">
        <f t="shared" si="15"/>
        <v>-2.1438056405961206</v>
      </c>
    </row>
    <row r="60" spans="2:48" outlineLevel="1" x14ac:dyDescent="0.2">
      <c r="B60" s="64" t="s">
        <v>79</v>
      </c>
      <c r="C60" s="1"/>
      <c r="D60" s="1">
        <f>D12</f>
        <v>-0.27810010000000002</v>
      </c>
      <c r="E60" s="1">
        <f>E12</f>
        <v>0.28953679999999998</v>
      </c>
      <c r="F60" s="1">
        <f>F12</f>
        <v>9.7703100000000001E-2</v>
      </c>
      <c r="G60" s="1">
        <f t="shared" ref="G60:W60" si="16">IF(G12="",F60,G12)</f>
        <v>9.7703100000000001E-2</v>
      </c>
      <c r="H60" s="1">
        <f t="shared" si="16"/>
        <v>9.7703100000000001E-2</v>
      </c>
      <c r="I60" s="1">
        <f t="shared" si="16"/>
        <v>9.7703100000000001E-2</v>
      </c>
      <c r="J60" s="1">
        <f t="shared" si="16"/>
        <v>9.7703100000000001E-2</v>
      </c>
      <c r="K60" s="1">
        <f t="shared" si="16"/>
        <v>9.7703100000000001E-2</v>
      </c>
      <c r="L60" s="1">
        <f t="shared" si="16"/>
        <v>9.7703100000000001E-2</v>
      </c>
      <c r="M60" s="1">
        <f t="shared" si="16"/>
        <v>9.7703100000000001E-2</v>
      </c>
      <c r="N60" s="1">
        <f t="shared" si="16"/>
        <v>9.7703100000000001E-2</v>
      </c>
      <c r="O60" s="1">
        <f t="shared" si="16"/>
        <v>9.7703100000000001E-2</v>
      </c>
      <c r="P60" s="1">
        <f t="shared" si="16"/>
        <v>9.7703100000000001E-2</v>
      </c>
      <c r="Q60" s="1">
        <f t="shared" si="16"/>
        <v>9.7703100000000001E-2</v>
      </c>
      <c r="R60" s="1">
        <f t="shared" si="16"/>
        <v>9.7703100000000001E-2</v>
      </c>
      <c r="S60" s="1">
        <f t="shared" si="16"/>
        <v>9.7703100000000001E-2</v>
      </c>
      <c r="T60" s="1">
        <f t="shared" si="16"/>
        <v>9.7703100000000001E-2</v>
      </c>
      <c r="U60" s="1">
        <f t="shared" si="16"/>
        <v>9.7703100000000001E-2</v>
      </c>
      <c r="V60" s="1">
        <f t="shared" si="16"/>
        <v>9.7703100000000001E-2</v>
      </c>
      <c r="W60" s="1">
        <f t="shared" si="16"/>
        <v>9.7703100000000001E-2</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17">-$C$48*D30</f>
        <v>-8.937154232789829E-2</v>
      </c>
      <c r="E62" s="1">
        <f t="shared" si="17"/>
        <v>1.2392569729978491</v>
      </c>
      <c r="F62" s="1">
        <f t="shared" si="17"/>
        <v>1.424887922936255</v>
      </c>
      <c r="G62" s="1">
        <f t="shared" si="17"/>
        <v>1.3379586999513335</v>
      </c>
      <c r="H62" s="1">
        <f t="shared" si="17"/>
        <v>0.89197604701359012</v>
      </c>
      <c r="I62" s="1">
        <f t="shared" si="17"/>
        <v>0.29732456659229989</v>
      </c>
      <c r="J62" s="1">
        <f t="shared" si="17"/>
        <v>-9.9120403245223083E-7</v>
      </c>
      <c r="K62" s="1">
        <f t="shared" si="17"/>
        <v>1.2764345785010179E-6</v>
      </c>
      <c r="L62" s="1">
        <f t="shared" si="17"/>
        <v>1.7302326696055915E-6</v>
      </c>
      <c r="M62" s="1">
        <f>-$C$48*M30</f>
        <v>3.092609641908162E-6</v>
      </c>
      <c r="N62" s="1">
        <f t="shared" si="17"/>
        <v>2.638150649469928E-6</v>
      </c>
      <c r="O62" s="1">
        <f t="shared" si="17"/>
        <v>1.7292017455927678E-6</v>
      </c>
      <c r="P62" s="1">
        <f t="shared" si="17"/>
        <v>2.1834771013251596E-6</v>
      </c>
      <c r="Q62" s="1">
        <f t="shared" si="17"/>
        <v>3.0916299435190809E-6</v>
      </c>
      <c r="R62" s="1">
        <f t="shared" si="17"/>
        <v>2.6377523031806406E-6</v>
      </c>
      <c r="S62" s="1">
        <f t="shared" si="17"/>
        <v>3.9982328348786565E-6</v>
      </c>
      <c r="T62" s="1">
        <f t="shared" si="17"/>
        <v>4.9041906383218146E-6</v>
      </c>
      <c r="U62" s="1">
        <f>-$C$48*U30</f>
        <v>4.4518204428856125E-6</v>
      </c>
      <c r="V62" s="1">
        <f t="shared" si="17"/>
        <v>2.6444708461026424E-6</v>
      </c>
      <c r="W62" s="1">
        <f t="shared" si="17"/>
        <v>1.7405961205696485E-6</v>
      </c>
    </row>
    <row r="63" spans="2:48" outlineLevel="1" x14ac:dyDescent="0.2">
      <c r="B63" s="64" t="s">
        <v>82</v>
      </c>
      <c r="C63" s="1"/>
      <c r="D63" s="1">
        <f t="shared" ref="D63:W63" si="18">-D14</f>
        <v>0</v>
      </c>
      <c r="E63" s="1">
        <f t="shared" si="18"/>
        <v>0</v>
      </c>
      <c r="F63" s="1">
        <f t="shared" si="18"/>
        <v>0</v>
      </c>
      <c r="G63" s="1">
        <f t="shared" si="18"/>
        <v>0</v>
      </c>
      <c r="H63" s="1">
        <f t="shared" si="18"/>
        <v>0</v>
      </c>
      <c r="I63" s="1">
        <f t="shared" si="18"/>
        <v>0</v>
      </c>
      <c r="J63" s="1">
        <f t="shared" si="18"/>
        <v>0</v>
      </c>
      <c r="K63" s="1">
        <f t="shared" si="18"/>
        <v>0</v>
      </c>
      <c r="L63" s="1">
        <f t="shared" si="18"/>
        <v>0</v>
      </c>
      <c r="M63" s="1">
        <f t="shared" si="18"/>
        <v>0</v>
      </c>
      <c r="N63" s="1">
        <f t="shared" si="18"/>
        <v>0</v>
      </c>
      <c r="O63" s="1">
        <f t="shared" si="18"/>
        <v>0</v>
      </c>
      <c r="P63" s="1">
        <f t="shared" si="18"/>
        <v>0</v>
      </c>
      <c r="Q63" s="1">
        <f t="shared" si="18"/>
        <v>0</v>
      </c>
      <c r="R63" s="1">
        <f t="shared" si="18"/>
        <v>0</v>
      </c>
      <c r="S63" s="1">
        <f t="shared" si="18"/>
        <v>0</v>
      </c>
      <c r="T63" s="1">
        <f t="shared" si="18"/>
        <v>0</v>
      </c>
      <c r="U63" s="1">
        <f t="shared" si="18"/>
        <v>0</v>
      </c>
      <c r="V63" s="1">
        <f t="shared" si="18"/>
        <v>0</v>
      </c>
      <c r="W63" s="1">
        <f t="shared" si="18"/>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0.14452999999999783</v>
      </c>
      <c r="L64" s="1">
        <f>IF(L$56&lt;=$C$6,0,HLOOKUP(L$56,'Input data'!$C$9:$BB$26,12,FALSE)-HLOOKUP($C$6,'Input data'!$C$9:$BB$26,12,FALSE))</f>
        <v>0.32941999999999894</v>
      </c>
      <c r="M64" s="1">
        <f>IF(M$56&lt;=$C$6,0,HLOOKUP(M$56,'Input data'!$C$9:$BB$26,12,FALSE)-HLOOKUP($C$6,'Input data'!$C$9:$BB$26,12,FALSE))</f>
        <v>0.51686000000000121</v>
      </c>
      <c r="N64" s="1">
        <f>IF(N$56&lt;=$C$6,0,HLOOKUP(N$56,'Input data'!$C$9:$BB$26,12,FALSE)-HLOOKUP($C$6,'Input data'!$C$9:$BB$26,12,FALSE))</f>
        <v>0.71439000000000163</v>
      </c>
      <c r="O64" s="1">
        <f>IF(O$56&lt;=$C$6,0,HLOOKUP(O$56,'Input data'!$C$9:$BB$26,12,FALSE)-HLOOKUP($C$6,'Input data'!$C$9:$BB$26,12,FALSE))</f>
        <v>0.90752999999999773</v>
      </c>
      <c r="P64" s="1">
        <f>IF(P$56&lt;=$C$6,0,HLOOKUP(P$56,'Input data'!$C$9:$BB$26,12,FALSE)-HLOOKUP($C$6,'Input data'!$C$9:$BB$26,12,FALSE))</f>
        <v>1.10229</v>
      </c>
      <c r="Q64" s="1">
        <f>IF(Q$56&lt;=$C$6,0,HLOOKUP(Q$56,'Input data'!$C$9:$BB$26,12,FALSE)-HLOOKUP($C$6,'Input data'!$C$9:$BB$26,12,FALSE))</f>
        <v>1.275109999999998</v>
      </c>
      <c r="R64" s="1">
        <f>IF(R$56&lt;=$C$6,0,HLOOKUP(R$56,'Input data'!$C$9:$BB$26,12,FALSE)-HLOOKUP($C$6,'Input data'!$C$9:$BB$26,12,FALSE))</f>
        <v>1.4401500000000027</v>
      </c>
      <c r="S64" s="1">
        <f>IF(S$56&lt;=$C$6,0,HLOOKUP(S$56,'Input data'!$C$9:$BB$26,12,FALSE)-HLOOKUP($C$6,'Input data'!$C$9:$BB$26,12,FALSE))</f>
        <v>1.6053599999999975</v>
      </c>
      <c r="T64" s="1">
        <f>IF(T$56&lt;=$C$6,0,HLOOKUP(T$56,'Input data'!$C$9:$BB$26,12,FALSE)-HLOOKUP($C$6,'Input data'!$C$9:$BB$26,12,FALSE))</f>
        <v>1.7680800000000012</v>
      </c>
      <c r="U64" s="1">
        <f>IF(U$56&lt;=$C$6,0,HLOOKUP(U$56,'Input data'!$C$9:$BB$26,12,FALSE)-HLOOKUP($C$6,'Input data'!$C$9:$BB$26,12,FALSE))</f>
        <v>1.9199100000000016</v>
      </c>
      <c r="V64" s="1">
        <f>IF(V$56&lt;=$C$6,0,HLOOKUP(V$56,'Input data'!$C$9:$BB$26,12,FALSE)-HLOOKUP($C$6,'Input data'!$C$9:$BB$26,12,FALSE))</f>
        <v>2.063089999999999</v>
      </c>
      <c r="W64" s="1">
        <f>IF(W$56&lt;=$C$6,0,HLOOKUP(W$56,'Input data'!$C$9:$BB$26,12,FALSE)-HLOOKUP($C$6,'Input data'!$C$9:$BB$26,12,FALSE))</f>
        <v>2.2168799999999997</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1.89499999999998E-3</v>
      </c>
      <c r="L65" s="1">
        <f>IF(L$56&lt;=$C$6,0,-HLOOKUP(L$56,'Input data'!$C$9:$BB$26,18,FALSE)+HLOOKUP($C$6,'Input data'!$C$9:$BB$26,18,FALSE))</f>
        <v>3.7889999999998203E-3</v>
      </c>
      <c r="M65" s="1">
        <f>IF(M$56&lt;=$C$6,0,-HLOOKUP(M$56,'Input data'!$C$9:$BB$26,18,FALSE)+HLOOKUP($C$6,'Input data'!$C$9:$BB$26,18,FALSE))</f>
        <v>5.6829999999998826E-3</v>
      </c>
      <c r="N65" s="1">
        <f>IF(N$56&lt;=$C$6,0,-HLOOKUP(N$56,'Input data'!$C$9:$BB$26,18,FALSE)+HLOOKUP($C$6,'Input data'!$C$9:$BB$26,18,FALSE))</f>
        <v>7.5779999999998626E-3</v>
      </c>
      <c r="O65" s="1">
        <f>IF(O$56&lt;=$C$6,0,-HLOOKUP(O$56,'Input data'!$C$9:$BB$26,18,FALSE)+HLOOKUP($C$6,'Input data'!$C$9:$BB$26,18,FALSE))</f>
        <v>9.4719999999999249E-3</v>
      </c>
      <c r="P65" s="1">
        <f>IF(P$56&lt;=$C$6,0,-HLOOKUP(P$56,'Input data'!$C$9:$BB$26,18,FALSE)+HLOOKUP($C$6,'Input data'!$C$9:$BB$26,18,FALSE))</f>
        <v>1.1365999999999987E-2</v>
      </c>
      <c r="Q65" s="1">
        <f>IF(Q$56&lt;=$C$6,0,-HLOOKUP(Q$56,'Input data'!$C$9:$BB$26,18,FALSE)+HLOOKUP($C$6,'Input data'!$C$9:$BB$26,18,FALSE))</f>
        <v>1.3260999999999967E-2</v>
      </c>
      <c r="R65" s="1">
        <f>IF(R$56&lt;=$C$6,0,-HLOOKUP(R$56,'Input data'!$C$9:$BB$26,18,FALSE)+HLOOKUP($C$6,'Input data'!$C$9:$BB$26,18,FALSE))</f>
        <v>1.5154999999999808E-2</v>
      </c>
      <c r="S65" s="1">
        <f>IF(S$56&lt;=$C$6,0,-HLOOKUP(S$56,'Input data'!$C$9:$BB$26,18,FALSE)+HLOOKUP($C$6,'Input data'!$C$9:$BB$26,18,FALSE))</f>
        <v>1.704899999999987E-2</v>
      </c>
      <c r="T65" s="1">
        <f>IF(T$56&lt;=$C$6,0,-HLOOKUP(T$56,'Input data'!$C$9:$BB$26,18,FALSE)+HLOOKUP($C$6,'Input data'!$C$9:$BB$26,18,FALSE))</f>
        <v>1.894399999999985E-2</v>
      </c>
      <c r="U65" s="182">
        <f>IF(U$56&lt;=$C$6,0,-HLOOKUP(U$56,'Input data'!$C$9:$BB$26,18,FALSE)+HLOOKUP($C$6,'Input data'!$C$9:$BB$26,18,FALSE))</f>
        <v>2.0837999999999912E-2</v>
      </c>
      <c r="V65" s="182">
        <f>IF(V$56&lt;=$C$6,0,-HLOOKUP(V$56,'Input data'!$C$9:$BB$26,18,FALSE)+HLOOKUP($C$6,'Input data'!$C$9:$BB$26,18,FALSE))</f>
        <v>2.2731999999999974E-2</v>
      </c>
      <c r="W65" s="182">
        <f>IF(W$56&lt;=$C$6,0,-HLOOKUP(W$56,'Input data'!$C$9:$BB$26,18,FALSE)+HLOOKUP($C$6,'Input data'!$C$9:$BB$26,18,FALSE))</f>
        <v>2.4626999999999954E-2</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3">
        <v>0</v>
      </c>
      <c r="V66" s="183">
        <v>0</v>
      </c>
      <c r="W66" s="183">
        <v>0</v>
      </c>
    </row>
    <row r="67" spans="2:23" outlineLevel="1" x14ac:dyDescent="0.2">
      <c r="B67" s="65" t="s">
        <v>86</v>
      </c>
      <c r="C67" s="34"/>
      <c r="D67" s="34">
        <f t="shared" ref="D67:O67" si="19">SUM(D68:D71)</f>
        <v>-1.472472</v>
      </c>
      <c r="E67" s="34">
        <f t="shared" si="19"/>
        <v>-0.25303399999999998</v>
      </c>
      <c r="F67" s="34">
        <f t="shared" si="19"/>
        <v>-0.96220119999999998</v>
      </c>
      <c r="G67" s="34">
        <f t="shared" si="19"/>
        <v>-0.74892570000000169</v>
      </c>
      <c r="H67" s="34">
        <f t="shared" si="19"/>
        <v>-0.99418816911915986</v>
      </c>
      <c r="I67" s="34">
        <f t="shared" si="19"/>
        <v>-1.0923040615641244</v>
      </c>
      <c r="J67" s="34">
        <f t="shared" si="19"/>
        <v>-0.89679097246174799</v>
      </c>
      <c r="K67" s="34">
        <f t="shared" si="19"/>
        <v>-0.66638366583989306</v>
      </c>
      <c r="L67" s="34">
        <f t="shared" si="19"/>
        <v>-0.62766110241471129</v>
      </c>
      <c r="M67" s="34">
        <f t="shared" si="19"/>
        <v>-0.58505942421592416</v>
      </c>
      <c r="N67" s="34">
        <f t="shared" si="19"/>
        <v>-0.54193742533328915</v>
      </c>
      <c r="O67" s="34">
        <f t="shared" si="19"/>
        <v>-0.51927030105381444</v>
      </c>
      <c r="P67" s="34">
        <f t="shared" ref="P67:W67" si="20">SUM(P68:P71)</f>
        <v>-0.50224832367142547</v>
      </c>
      <c r="Q67" s="34">
        <f t="shared" si="20"/>
        <v>-0.48703550415379671</v>
      </c>
      <c r="R67" s="34">
        <f t="shared" si="20"/>
        <v>-0.47334828248175309</v>
      </c>
      <c r="S67" s="34">
        <f t="shared" si="20"/>
        <v>-0.47353399462547052</v>
      </c>
      <c r="T67" s="34">
        <f t="shared" si="20"/>
        <v>-0.48392032356852333</v>
      </c>
      <c r="U67" s="34">
        <f t="shared" si="20"/>
        <v>-0.50215185637438475</v>
      </c>
      <c r="V67" s="34">
        <f t="shared" si="20"/>
        <v>-0.51626923997733654</v>
      </c>
      <c r="W67" s="34">
        <f t="shared" si="20"/>
        <v>-0.48649713811646789</v>
      </c>
    </row>
    <row r="68" spans="2:23" outlineLevel="1" x14ac:dyDescent="0.2">
      <c r="B68" s="64" t="s">
        <v>87</v>
      </c>
      <c r="C68" s="23"/>
      <c r="D68" s="23">
        <f t="shared" ref="D68:E68" si="21">C57*D36/100*(1/(1+D33/100))</f>
        <v>0.16097200349142848</v>
      </c>
      <c r="E68" s="23">
        <f t="shared" si="21"/>
        <v>0.30227085528012698</v>
      </c>
      <c r="F68" s="23">
        <f>E57*F36/100*(1/(1+F33/100))</f>
        <v>0.37175611299860128</v>
      </c>
      <c r="G68" s="23">
        <f>F57*G36/100*(1/(1+G33/100))</f>
        <v>0.43438097300347256</v>
      </c>
      <c r="H68" s="23">
        <f t="shared" ref="H68:W68" si="22">G57*H36/100*(1/(1+H33/100))</f>
        <v>0.49066782201314391</v>
      </c>
      <c r="I68" s="23">
        <f t="shared" si="22"/>
        <v>0.53271621434514749</v>
      </c>
      <c r="J68" s="23">
        <f>I57*J36/100*(1/(1+J33/100))</f>
        <v>0.56010298510869005</v>
      </c>
      <c r="K68" s="23">
        <f t="shared" si="22"/>
        <v>0.58165511646897172</v>
      </c>
      <c r="L68" s="23">
        <f t="shared" si="22"/>
        <v>0.60591776975785638</v>
      </c>
      <c r="M68" s="23">
        <f t="shared" si="22"/>
        <v>0.63302381061297575</v>
      </c>
      <c r="N68" s="23">
        <f t="shared" si="22"/>
        <v>0.66273675120931497</v>
      </c>
      <c r="O68" s="23">
        <f t="shared" si="22"/>
        <v>0.69465607338507684</v>
      </c>
      <c r="P68" s="23">
        <f t="shared" si="22"/>
        <v>0.727975712934532</v>
      </c>
      <c r="Q68" s="23">
        <f t="shared" si="22"/>
        <v>0.76100099768415097</v>
      </c>
      <c r="R68" s="23">
        <f t="shared" si="22"/>
        <v>0.79357787638551303</v>
      </c>
      <c r="S68" s="23">
        <f t="shared" si="22"/>
        <v>0.82549152060968245</v>
      </c>
      <c r="T68" s="23">
        <f t="shared" si="22"/>
        <v>0.85636020829949844</v>
      </c>
      <c r="U68" s="23">
        <f t="shared" si="22"/>
        <v>0.88632894560290221</v>
      </c>
      <c r="V68" s="23">
        <f t="shared" si="22"/>
        <v>0.9153620117138852</v>
      </c>
      <c r="W68" s="23">
        <f t="shared" si="22"/>
        <v>0.94444748997896233</v>
      </c>
    </row>
    <row r="69" spans="2:23" outlineLevel="1" x14ac:dyDescent="0.2">
      <c r="B69" s="64" t="s">
        <v>88</v>
      </c>
      <c r="C69" s="23"/>
      <c r="D69" s="23">
        <f t="shared" ref="D69:W69" si="23">-C57*(D24/100)*(1/(1+D33/100))</f>
        <v>-0.31565593142756088</v>
      </c>
      <c r="E69" s="23">
        <f t="shared" si="23"/>
        <v>0.26492764582387623</v>
      </c>
      <c r="F69" s="23">
        <f t="shared" si="23"/>
        <v>-0.34983820394063647</v>
      </c>
      <c r="G69" s="23">
        <f t="shared" si="23"/>
        <v>-0.51395157822552662</v>
      </c>
      <c r="H69" s="23">
        <f t="shared" si="23"/>
        <v>-0.77648840172369926</v>
      </c>
      <c r="I69" s="23">
        <f t="shared" si="23"/>
        <v>-0.89619534696640146</v>
      </c>
      <c r="J69" s="23">
        <f t="shared" si="23"/>
        <v>-0.72726907215830927</v>
      </c>
      <c r="K69" s="23">
        <f t="shared" si="23"/>
        <v>-0.52295445628606185</v>
      </c>
      <c r="L69" s="23">
        <f t="shared" si="23"/>
        <v>-0.50696519070327761</v>
      </c>
      <c r="M69" s="23">
        <f t="shared" si="23"/>
        <v>-0.48841193506550679</v>
      </c>
      <c r="N69" s="23">
        <f t="shared" si="23"/>
        <v>-0.47036761469033378</v>
      </c>
      <c r="O69" s="23">
        <f t="shared" si="23"/>
        <v>-0.47317869729879281</v>
      </c>
      <c r="P69" s="23">
        <f t="shared" si="23"/>
        <v>-0.49038778827092649</v>
      </c>
      <c r="Q69" s="23">
        <f t="shared" si="23"/>
        <v>-0.50841401148644516</v>
      </c>
      <c r="R69" s="23">
        <f t="shared" si="23"/>
        <v>-0.52711275910427913</v>
      </c>
      <c r="S69" s="23">
        <f t="shared" si="23"/>
        <v>-0.55867096802256355</v>
      </c>
      <c r="T69" s="23">
        <f t="shared" si="23"/>
        <v>-0.59953686121478988</v>
      </c>
      <c r="U69" s="23">
        <f t="shared" si="23"/>
        <v>-0.64754173047684882</v>
      </c>
      <c r="V69" s="23">
        <f t="shared" si="23"/>
        <v>-0.6910280028757092</v>
      </c>
      <c r="W69" s="23">
        <f t="shared" si="23"/>
        <v>-0.69135739637427007</v>
      </c>
    </row>
    <row r="70" spans="2:23" outlineLevel="1" x14ac:dyDescent="0.2">
      <c r="B70" s="64" t="s">
        <v>89</v>
      </c>
      <c r="C70" s="23"/>
      <c r="D70" s="23">
        <f t="shared" ref="D70:W70" si="24">-C57*D42/100*(1/(1+D42/100))</f>
        <v>-1.3177875342377352</v>
      </c>
      <c r="E70" s="23">
        <f t="shared" si="24"/>
        <v>-0.82023243997976503</v>
      </c>
      <c r="F70" s="23">
        <f t="shared" si="24"/>
        <v>-0.98411909204355408</v>
      </c>
      <c r="G70" s="23">
        <f t="shared" si="24"/>
        <v>-0.6693548341260056</v>
      </c>
      <c r="H70" s="23">
        <f t="shared" si="24"/>
        <v>-0.70836758940860445</v>
      </c>
      <c r="I70" s="23">
        <f t="shared" si="24"/>
        <v>-0.72882492894287032</v>
      </c>
      <c r="J70" s="23">
        <f t="shared" si="24"/>
        <v>-0.72962488541212878</v>
      </c>
      <c r="K70" s="23">
        <f t="shared" si="24"/>
        <v>-0.72508432602280293</v>
      </c>
      <c r="L70" s="23">
        <f t="shared" si="24"/>
        <v>-0.72661368146929006</v>
      </c>
      <c r="M70" s="23">
        <f t="shared" si="24"/>
        <v>-0.72967129976339318</v>
      </c>
      <c r="N70" s="23">
        <f t="shared" si="24"/>
        <v>-0.73430656185227028</v>
      </c>
      <c r="O70" s="23">
        <f t="shared" si="24"/>
        <v>-0.74074767714009848</v>
      </c>
      <c r="P70" s="23">
        <f t="shared" si="24"/>
        <v>-0.73983624833503092</v>
      </c>
      <c r="Q70" s="23">
        <f t="shared" si="24"/>
        <v>-0.73962249035150252</v>
      </c>
      <c r="R70" s="23">
        <f t="shared" si="24"/>
        <v>-0.73981339976298699</v>
      </c>
      <c r="S70" s="23">
        <f t="shared" si="24"/>
        <v>-0.74035454721258942</v>
      </c>
      <c r="T70" s="23">
        <f t="shared" si="24"/>
        <v>-0.74074367065323188</v>
      </c>
      <c r="U70" s="23">
        <f t="shared" si="24"/>
        <v>-0.74093907150043814</v>
      </c>
      <c r="V70" s="23">
        <f t="shared" si="24"/>
        <v>-0.74060324881551254</v>
      </c>
      <c r="W70" s="23">
        <f t="shared" si="24"/>
        <v>-0.73958723172116014</v>
      </c>
    </row>
    <row r="71" spans="2:23" outlineLevel="1" x14ac:dyDescent="0.2">
      <c r="B71" s="64" t="s">
        <v>90</v>
      </c>
      <c r="C71" s="35"/>
      <c r="D71" s="35">
        <f>'Baseline NFPC'!D70</f>
        <v>-5.3782613229635956E-7</v>
      </c>
      <c r="E71" s="35">
        <f>'Baseline NFPC'!E70</f>
        <v>-6.1124238226462069E-8</v>
      </c>
      <c r="F71" s="35">
        <f>'Baseline NFPC'!F70</f>
        <v>-1.7014410769178312E-8</v>
      </c>
      <c r="G71" s="35">
        <f>'Baseline NFPC'!G70</f>
        <v>-2.606519420300657E-7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1.5134049999999999</v>
      </c>
      <c r="E72" s="36">
        <f>'Input data'!E16</f>
        <v>0.23943610000000001</v>
      </c>
      <c r="F72" s="36">
        <f>'Input data'!F16</f>
        <v>1.036694</v>
      </c>
      <c r="G72" s="36">
        <f>'Input data'!G16</f>
        <v>1.06619</v>
      </c>
      <c r="H72" s="36">
        <f>'Input data'!H16</f>
        <v>1.0058400000000001</v>
      </c>
      <c r="I72" s="36">
        <f>'Input data'!I16</f>
        <v>0.90413500000000002</v>
      </c>
      <c r="J72" s="36">
        <f>'Input data'!J16</f>
        <v>0.79055200000000003</v>
      </c>
      <c r="K72" s="36">
        <f>'Input data'!K16</f>
        <v>0.65862969999999998</v>
      </c>
      <c r="L72" s="36">
        <f>'Input data'!L16</f>
        <v>0.49461250000000001</v>
      </c>
      <c r="M72" s="36">
        <f>'Input data'!M16</f>
        <v>0.32602239999999999</v>
      </c>
      <c r="N72" s="36">
        <f>'Input data'!N16</f>
        <v>0.15586639999999999</v>
      </c>
      <c r="O72" s="36">
        <f>'Input data'!O16</f>
        <v>-2.03857E-2</v>
      </c>
      <c r="P72" s="36">
        <f>'Input data'!P16</f>
        <v>-0.19921710000000001</v>
      </c>
      <c r="Q72" s="36">
        <f>'Input data'!Q16</f>
        <v>-0.3653266</v>
      </c>
      <c r="R72" s="36">
        <f>'Input data'!R16</f>
        <v>-0.52362160000000002</v>
      </c>
      <c r="S72" s="36">
        <f>'Input data'!S16</f>
        <v>-0.68878539999999999</v>
      </c>
      <c r="T72" s="36">
        <f>'Input data'!T16</f>
        <v>-0.84298320000000004</v>
      </c>
      <c r="U72" s="36">
        <f>'Input data'!U16</f>
        <v>-0.99308909999999995</v>
      </c>
      <c r="V72" s="36">
        <f>'Input data'!V16</f>
        <v>-1.145699</v>
      </c>
      <c r="W72" s="36">
        <f>'Input data'!W16</f>
        <v>-1.3113919999999999</v>
      </c>
    </row>
    <row r="73" spans="2:23" outlineLevel="1" x14ac:dyDescent="0.2">
      <c r="B73" s="64" t="s">
        <v>92</v>
      </c>
      <c r="C73" s="23"/>
      <c r="D73" s="23">
        <f t="shared" ref="D73:W73" si="25">D15</f>
        <v>1.5134049999999999</v>
      </c>
      <c r="E73" s="23">
        <f t="shared" si="25"/>
        <v>0.23943519999999999</v>
      </c>
      <c r="F73" s="23">
        <f t="shared" si="25"/>
        <v>1.0366949999999999</v>
      </c>
      <c r="G73" s="23">
        <f t="shared" si="25"/>
        <v>1.0661879999999999</v>
      </c>
      <c r="H73" s="23">
        <f t="shared" si="25"/>
        <v>1.0058400000000001</v>
      </c>
      <c r="I73" s="23">
        <f t="shared" si="25"/>
        <v>0.90413500000000002</v>
      </c>
      <c r="J73" s="23">
        <f t="shared" si="25"/>
        <v>0.79055200000000003</v>
      </c>
      <c r="K73" s="23">
        <f t="shared" si="25"/>
        <v>0.65862969999999998</v>
      </c>
      <c r="L73" s="23">
        <f t="shared" si="25"/>
        <v>0.49461250000000001</v>
      </c>
      <c r="M73" s="23">
        <f t="shared" si="25"/>
        <v>0.32602239999999999</v>
      </c>
      <c r="N73" s="23">
        <f t="shared" si="25"/>
        <v>0.15586639999999999</v>
      </c>
      <c r="O73" s="23">
        <f t="shared" si="25"/>
        <v>-2.03857E-2</v>
      </c>
      <c r="P73" s="23">
        <f t="shared" si="25"/>
        <v>-0.19921710000000001</v>
      </c>
      <c r="Q73" s="23">
        <f t="shared" si="25"/>
        <v>-0.3653266</v>
      </c>
      <c r="R73" s="23">
        <f t="shared" si="25"/>
        <v>-0.52362160000000002</v>
      </c>
      <c r="S73" s="23">
        <f t="shared" si="25"/>
        <v>-0.68878539999999999</v>
      </c>
      <c r="T73" s="23">
        <f t="shared" si="25"/>
        <v>-0.84298320000000004</v>
      </c>
      <c r="U73" s="23">
        <f t="shared" si="25"/>
        <v>-0.99308909999999995</v>
      </c>
      <c r="V73" s="23">
        <f t="shared" si="25"/>
        <v>-1.145699</v>
      </c>
      <c r="W73" s="23">
        <f t="shared" si="25"/>
        <v>-1.3113919999999999</v>
      </c>
    </row>
    <row r="74" spans="2:23" outlineLevel="1" x14ac:dyDescent="0.2">
      <c r="B74" s="70" t="s">
        <v>93</v>
      </c>
      <c r="C74" s="35"/>
      <c r="D74" s="35">
        <f>+D72-D73</f>
        <v>0</v>
      </c>
      <c r="E74" s="35">
        <f t="shared" ref="E74:W74" si="26">+E72-E73</f>
        <v>9.000000000258801E-7</v>
      </c>
      <c r="F74" s="35">
        <f t="shared" si="26"/>
        <v>-9.9999999991773336E-7</v>
      </c>
      <c r="G74" s="35">
        <f t="shared" si="26"/>
        <v>2.0000000000575113E-6</v>
      </c>
      <c r="H74" s="35">
        <f t="shared" si="26"/>
        <v>0</v>
      </c>
      <c r="I74" s="35">
        <f t="shared" si="26"/>
        <v>0</v>
      </c>
      <c r="J74" s="35">
        <f t="shared" si="26"/>
        <v>0</v>
      </c>
      <c r="K74" s="35">
        <f t="shared" si="26"/>
        <v>0</v>
      </c>
      <c r="L74" s="35">
        <f t="shared" si="26"/>
        <v>0</v>
      </c>
      <c r="M74" s="35">
        <f t="shared" si="26"/>
        <v>0</v>
      </c>
      <c r="N74" s="35">
        <f t="shared" si="26"/>
        <v>0</v>
      </c>
      <c r="O74" s="35">
        <f t="shared" si="26"/>
        <v>0</v>
      </c>
      <c r="P74" s="35">
        <f t="shared" si="26"/>
        <v>0</v>
      </c>
      <c r="Q74" s="35">
        <f t="shared" si="26"/>
        <v>0</v>
      </c>
      <c r="R74" s="35">
        <f t="shared" si="26"/>
        <v>0</v>
      </c>
      <c r="S74" s="35">
        <f t="shared" si="26"/>
        <v>0</v>
      </c>
      <c r="T74" s="35">
        <f t="shared" si="26"/>
        <v>0</v>
      </c>
      <c r="U74" s="35">
        <f t="shared" si="26"/>
        <v>0</v>
      </c>
      <c r="V74" s="35">
        <f t="shared" si="26"/>
        <v>0</v>
      </c>
      <c r="W74" s="35">
        <f t="shared" si="26"/>
        <v>0</v>
      </c>
    </row>
    <row r="75" spans="2:23" ht="10.5" customHeight="1" outlineLevel="1" x14ac:dyDescent="0.2"/>
    <row r="76" spans="2:23" ht="10.5" customHeight="1" outlineLevel="1" x14ac:dyDescent="0.2">
      <c r="B76" s="71" t="s">
        <v>94</v>
      </c>
    </row>
    <row r="77" spans="2:23" x14ac:dyDescent="0.2">
      <c r="B77" s="62" t="s">
        <v>19</v>
      </c>
      <c r="C77" s="62"/>
      <c r="D77" s="63">
        <f>D59-D68</f>
        <v>-0.34970056116353021</v>
      </c>
      <c r="E77" s="63">
        <f t="shared" ref="E77:W77" si="27">E59-E68</f>
        <v>-1.251991028277976</v>
      </c>
      <c r="F77" s="63">
        <f t="shared" si="27"/>
        <v>-1.6989409359348564</v>
      </c>
      <c r="G77" s="63">
        <f>G59-G68</f>
        <v>-1.6746365729548063</v>
      </c>
      <c r="H77" s="63">
        <f t="shared" si="27"/>
        <v>-1.284940769026734</v>
      </c>
      <c r="I77" s="63">
        <f t="shared" si="27"/>
        <v>-0.73233768093744733</v>
      </c>
      <c r="J77" s="63">
        <f t="shared" si="27"/>
        <v>-0.4623988939046576</v>
      </c>
      <c r="K77" s="63">
        <f t="shared" si="27"/>
        <v>-0.63037829290354808</v>
      </c>
      <c r="L77" s="63">
        <f t="shared" si="27"/>
        <v>-0.84142539999052479</v>
      </c>
      <c r="M77" s="63">
        <f t="shared" si="27"/>
        <v>-1.0578668032226188</v>
      </c>
      <c r="N77" s="63">
        <f t="shared" si="27"/>
        <v>-1.2870042893599658</v>
      </c>
      <c r="O77" s="63">
        <f t="shared" si="27"/>
        <v>-1.5139567025868201</v>
      </c>
      <c r="P77" s="63">
        <f t="shared" si="27"/>
        <v>-1.7439307964116333</v>
      </c>
      <c r="Q77" s="63">
        <f t="shared" si="27"/>
        <v>-1.9516719893140924</v>
      </c>
      <c r="R77" s="63">
        <f t="shared" si="27"/>
        <v>-2.1511824141378186</v>
      </c>
      <c r="S77" s="63">
        <f t="shared" si="27"/>
        <v>-2.3502014188425147</v>
      </c>
      <c r="T77" s="63">
        <f t="shared" si="27"/>
        <v>-2.5456860124901377</v>
      </c>
      <c r="U77" s="63">
        <f t="shared" si="27"/>
        <v>-2.7293782974233465</v>
      </c>
      <c r="V77" s="63">
        <f t="shared" si="27"/>
        <v>-2.9034835561847303</v>
      </c>
      <c r="W77" s="63">
        <f t="shared" si="27"/>
        <v>-3.0882531305750831</v>
      </c>
    </row>
    <row r="78" spans="2:23" x14ac:dyDescent="0.2">
      <c r="B78" s="15" t="s">
        <v>20</v>
      </c>
      <c r="D78" s="23">
        <f>D60-D68-D64-D65-D66</f>
        <v>-0.4390721034914285</v>
      </c>
      <c r="E78" s="23">
        <f t="shared" ref="E78:W78" si="28">E60-E68-E64-E65-E66</f>
        <v>-1.2734055280126999E-2</v>
      </c>
      <c r="F78" s="23">
        <f t="shared" si="28"/>
        <v>-0.2740530129986013</v>
      </c>
      <c r="G78" s="23">
        <f t="shared" si="28"/>
        <v>-0.33667787300347257</v>
      </c>
      <c r="H78" s="23">
        <f t="shared" si="28"/>
        <v>-0.39296472201314392</v>
      </c>
      <c r="I78" s="23">
        <f t="shared" si="28"/>
        <v>-0.4350131143451475</v>
      </c>
      <c r="J78" s="23">
        <f t="shared" si="28"/>
        <v>-0.46239988510869007</v>
      </c>
      <c r="K78" s="23">
        <f t="shared" si="28"/>
        <v>-0.63037701646896949</v>
      </c>
      <c r="L78" s="23">
        <f t="shared" si="28"/>
        <v>-0.8414236697578551</v>
      </c>
      <c r="M78" s="23">
        <f t="shared" si="28"/>
        <v>-1.0578637106129767</v>
      </c>
      <c r="N78" s="23">
        <f t="shared" si="28"/>
        <v>-1.2870016512093165</v>
      </c>
      <c r="O78" s="23">
        <f t="shared" si="28"/>
        <v>-1.5139549733850746</v>
      </c>
      <c r="P78" s="23">
        <f t="shared" si="28"/>
        <v>-1.7439286129345319</v>
      </c>
      <c r="Q78" s="23">
        <f t="shared" si="28"/>
        <v>-1.951668897684149</v>
      </c>
      <c r="R78" s="23">
        <f t="shared" si="28"/>
        <v>-2.1511797763855158</v>
      </c>
      <c r="S78" s="23">
        <f t="shared" si="28"/>
        <v>-2.3501974206096801</v>
      </c>
      <c r="T78" s="23">
        <f t="shared" si="28"/>
        <v>-2.5456811082994997</v>
      </c>
      <c r="U78" s="23">
        <f t="shared" si="28"/>
        <v>-2.7293738456029035</v>
      </c>
      <c r="V78" s="23">
        <f t="shared" si="28"/>
        <v>-2.903480911713884</v>
      </c>
      <c r="W78" s="23">
        <f t="shared" si="28"/>
        <v>-3.0882513899789616</v>
      </c>
    </row>
    <row r="79" spans="2:23" x14ac:dyDescent="0.2">
      <c r="B79" s="24" t="s">
        <v>95</v>
      </c>
      <c r="C79" s="24"/>
      <c r="D79" s="229">
        <f>'Input data'!D45</f>
        <v>11.704064728333291</v>
      </c>
      <c r="E79" s="229">
        <f>'Input data'!E45</f>
        <v>13.053490335238813</v>
      </c>
      <c r="F79" s="229">
        <f>'Input data'!F45</f>
        <v>6.8349944328923353</v>
      </c>
      <c r="G79" s="35">
        <f>'Input data'!G33+G42-(G$12-F$12)/'Input data'!$C$64*100</f>
        <v>4.3229220000000002</v>
      </c>
      <c r="H79" s="35">
        <f>'Input data'!H33+H42-(H$12-G$12)/'Input data'!$C$64*100</f>
        <v>4.3852308749999995</v>
      </c>
      <c r="I79" s="35">
        <f>'Input data'!I33+I42-(I$12-H$12)/'Input data'!$C$64*100</f>
        <v>4.4243257499999995</v>
      </c>
      <c r="J79" s="35">
        <f>'Input data'!J33+J42-(J$12-I$12)/'Input data'!$C$64*100</f>
        <v>4.4788796250000003</v>
      </c>
      <c r="K79" s="35">
        <f>'Input data'!K33+K42-(K$12-J$12)/'Input data'!$C$64*100</f>
        <v>4.4107104999999995</v>
      </c>
      <c r="L79" s="35">
        <f>'Input data'!L33+L42-(L$12-K$12)/'Input data'!$C$64*100</f>
        <v>4.3518553749999995</v>
      </c>
      <c r="M79" s="35">
        <f>'Input data'!M33+M42-(M$12-L$12)/'Input data'!$C$64*100</f>
        <v>4.2802652499999994</v>
      </c>
      <c r="N79" s="35">
        <f>'Input data'!N33+N42-(N$12-M$12)/'Input data'!$C$64*100</f>
        <v>4.2074871250000001</v>
      </c>
      <c r="O79" s="35">
        <f>'Input data'!O33+O42-(O$12-N$12)/'Input data'!$C$64*100</f>
        <v>4.2058729999999995</v>
      </c>
      <c r="P79" s="35">
        <f>'Input data'!P33+P42-(P$12-O$12)/'Input data'!$C$64*100</f>
        <v>4.2229279999999996</v>
      </c>
      <c r="Q79" s="35">
        <f>'Input data'!Q33+Q42-(Q$12-P$12)/'Input data'!$C$64*100</f>
        <v>4.2399839999999998</v>
      </c>
      <c r="R79" s="35">
        <f>'Input data'!R33+R42-(R$12-Q$12)/'Input data'!$C$64*100</f>
        <v>4.2570399999999999</v>
      </c>
      <c r="S79" s="35">
        <f>'Input data'!S33+S42-(S$12-R$12)/'Input data'!$C$64*100</f>
        <v>4.3157619999999994</v>
      </c>
      <c r="T79" s="35">
        <f>'Input data'!T33+T42-(T$12-S$12)/'Input data'!$C$64*100</f>
        <v>4.4039969999999995</v>
      </c>
      <c r="U79" s="35">
        <f>'Input data'!U33+U42-(U$12-T$12)/'Input data'!$C$64*100</f>
        <v>4.5137339999999995</v>
      </c>
      <c r="V79" s="35">
        <f>'Input data'!V33+V42-(V$12-U$12)/'Input data'!$C$64*100</f>
        <v>4.606662</v>
      </c>
      <c r="W79" s="35">
        <f>'Input data'!W33+W42-(W$12-V$12)/'Input data'!$C$64*100</f>
        <v>4.5565499999999997</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48">
        <f ca="1">AVERAGE(OFFSET($G$79,0,0,1,'Criteria results'!F5))</f>
        <v>4.4028395624999996</v>
      </c>
      <c r="E81" s="23"/>
      <c r="F81" s="23"/>
      <c r="G81" s="23"/>
      <c r="H81" s="23"/>
      <c r="I81" s="25"/>
      <c r="J81" s="25"/>
      <c r="K81" s="25"/>
      <c r="L81" s="25"/>
      <c r="M81" s="23"/>
      <c r="N81" s="23"/>
      <c r="O81" s="23"/>
      <c r="P81" s="23"/>
      <c r="Q81" s="23"/>
      <c r="R81" s="23"/>
      <c r="S81" s="23"/>
      <c r="T81" s="23"/>
      <c r="U81" s="23"/>
      <c r="V81" s="23"/>
      <c r="W81" s="23"/>
    </row>
    <row r="82" spans="2:23" x14ac:dyDescent="0.2">
      <c r="B82" s="68"/>
      <c r="C82" s="62"/>
      <c r="D82" s="264"/>
      <c r="E82" s="23"/>
      <c r="F82" s="23"/>
      <c r="G82" s="23"/>
      <c r="H82" s="23"/>
      <c r="I82" s="25"/>
      <c r="J82" s="25"/>
      <c r="K82" s="25"/>
      <c r="L82" s="25"/>
      <c r="M82" s="23"/>
      <c r="N82" s="23"/>
      <c r="O82" s="23"/>
      <c r="P82" s="23"/>
      <c r="Q82" s="23"/>
      <c r="R82" s="23"/>
      <c r="S82" s="23"/>
      <c r="T82" s="23"/>
      <c r="U82" s="23"/>
      <c r="V82" s="23"/>
      <c r="W82" s="23"/>
    </row>
    <row r="83" spans="2:23" x14ac:dyDescent="0.2">
      <c r="B83" s="37" t="s">
        <v>147</v>
      </c>
      <c r="C83" s="37"/>
      <c r="D83" s="37"/>
      <c r="E83" s="37"/>
      <c r="F83" s="37"/>
      <c r="G83" s="177"/>
      <c r="H83" s="177"/>
      <c r="I83" s="177"/>
      <c r="J83" s="177"/>
      <c r="K83" s="177">
        <f t="shared" ref="K83:W83" si="29">IF(K57&lt;J57,0,1)</f>
        <v>1</v>
      </c>
      <c r="L83" s="177">
        <f t="shared" si="29"/>
        <v>1</v>
      </c>
      <c r="M83" s="177">
        <f t="shared" si="29"/>
        <v>1</v>
      </c>
      <c r="N83" s="177">
        <f t="shared" si="29"/>
        <v>1</v>
      </c>
      <c r="O83" s="177">
        <f t="shared" si="29"/>
        <v>1</v>
      </c>
      <c r="P83" s="177">
        <f t="shared" si="29"/>
        <v>1</v>
      </c>
      <c r="Q83" s="177">
        <f t="shared" si="29"/>
        <v>1</v>
      </c>
      <c r="R83" s="177">
        <f t="shared" si="29"/>
        <v>1</v>
      </c>
      <c r="S83" s="177">
        <f t="shared" si="29"/>
        <v>1</v>
      </c>
      <c r="T83" s="177">
        <f t="shared" si="29"/>
        <v>1</v>
      </c>
      <c r="U83" s="63">
        <f t="shared" si="29"/>
        <v>1</v>
      </c>
      <c r="V83" s="63">
        <f t="shared" si="29"/>
        <v>1</v>
      </c>
      <c r="W83" s="63">
        <f t="shared" si="29"/>
        <v>1</v>
      </c>
    </row>
    <row r="84" spans="2:23" x14ac:dyDescent="0.2">
      <c r="B84" s="62"/>
      <c r="C84" s="62"/>
      <c r="D84" s="63"/>
      <c r="E84" s="23"/>
      <c r="F84" s="23"/>
      <c r="G84" s="23"/>
      <c r="H84" s="23"/>
      <c r="I84" s="23"/>
      <c r="J84" s="23"/>
      <c r="K84" s="23"/>
      <c r="L84" s="23"/>
      <c r="M84" s="23"/>
      <c r="N84" s="23"/>
      <c r="O84" s="23"/>
      <c r="P84" s="23"/>
      <c r="Q84" s="23"/>
      <c r="R84" s="23"/>
      <c r="S84" s="23"/>
      <c r="T84" s="23"/>
      <c r="U84" s="23"/>
      <c r="V84" s="23"/>
      <c r="W84" s="23"/>
    </row>
    <row r="85" spans="2:23" s="72" customFormat="1" ht="12.75" outlineLevel="1" x14ac:dyDescent="0.2">
      <c r="B85" s="73" t="s">
        <v>96</v>
      </c>
      <c r="C85" s="74"/>
      <c r="E85" s="75"/>
      <c r="F85" s="74"/>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97</v>
      </c>
      <c r="D87" s="18">
        <f t="shared" ref="D87:W87" si="30">IF((D92-C92*D43/((1+D24/100)*(1+D42/100)))&gt;0,1,0)</f>
        <v>1</v>
      </c>
      <c r="E87" s="18">
        <f t="shared" si="30"/>
        <v>1</v>
      </c>
      <c r="F87" s="18">
        <f t="shared" si="30"/>
        <v>1</v>
      </c>
      <c r="G87" s="18">
        <f t="shared" si="30"/>
        <v>1</v>
      </c>
      <c r="H87" s="18">
        <f t="shared" si="30"/>
        <v>1</v>
      </c>
      <c r="I87" s="18">
        <f t="shared" si="30"/>
        <v>1</v>
      </c>
      <c r="J87" s="18">
        <f t="shared" si="30"/>
        <v>1</v>
      </c>
      <c r="K87" s="18">
        <f t="shared" si="30"/>
        <v>1</v>
      </c>
      <c r="L87" s="18">
        <f t="shared" si="30"/>
        <v>1</v>
      </c>
      <c r="M87" s="18">
        <f t="shared" si="30"/>
        <v>1</v>
      </c>
      <c r="N87" s="18">
        <f t="shared" si="30"/>
        <v>1</v>
      </c>
      <c r="O87" s="18">
        <f t="shared" si="30"/>
        <v>1</v>
      </c>
      <c r="P87" s="18">
        <f t="shared" si="30"/>
        <v>1</v>
      </c>
      <c r="Q87" s="18">
        <f t="shared" si="30"/>
        <v>1</v>
      </c>
      <c r="R87" s="18">
        <f t="shared" si="30"/>
        <v>1</v>
      </c>
      <c r="S87" s="18">
        <f t="shared" si="30"/>
        <v>1</v>
      </c>
      <c r="T87" s="18">
        <f t="shared" si="30"/>
        <v>1</v>
      </c>
      <c r="U87" s="18">
        <f t="shared" si="30"/>
        <v>1</v>
      </c>
      <c r="V87" s="18">
        <f t="shared" si="30"/>
        <v>1</v>
      </c>
      <c r="W87" s="18">
        <f t="shared" si="30"/>
        <v>1</v>
      </c>
    </row>
    <row r="88" spans="2:23" x14ac:dyDescent="0.2">
      <c r="B88" s="15" t="s">
        <v>98</v>
      </c>
      <c r="D88" s="18">
        <f t="shared" ref="D88:W88" si="31">IF(AND(D87=0,ABS(D92-C92*D43/((1+D24/100)*(1+D42/100)))&lt;((C98*C92*D43/((1+D24/100)*(1+D42/100))+(D39*C92*C99*D43/((1+D24/100)*(1+D42/100)))))),1,0)</f>
        <v>0</v>
      </c>
      <c r="E88" s="18">
        <f t="shared" si="31"/>
        <v>0</v>
      </c>
      <c r="F88" s="18">
        <f t="shared" si="31"/>
        <v>0</v>
      </c>
      <c r="G88" s="18">
        <f t="shared" si="31"/>
        <v>0</v>
      </c>
      <c r="H88" s="18">
        <f t="shared" si="31"/>
        <v>0</v>
      </c>
      <c r="I88" s="18">
        <f t="shared" si="31"/>
        <v>0</v>
      </c>
      <c r="J88" s="18">
        <f t="shared" si="31"/>
        <v>0</v>
      </c>
      <c r="K88" s="18">
        <f t="shared" si="31"/>
        <v>0</v>
      </c>
      <c r="L88" s="18">
        <f t="shared" si="31"/>
        <v>0</v>
      </c>
      <c r="M88" s="18">
        <f t="shared" si="31"/>
        <v>0</v>
      </c>
      <c r="N88" s="18">
        <f t="shared" si="31"/>
        <v>0</v>
      </c>
      <c r="O88" s="18">
        <f t="shared" si="31"/>
        <v>0</v>
      </c>
      <c r="P88" s="18">
        <f t="shared" si="31"/>
        <v>0</v>
      </c>
      <c r="Q88" s="18">
        <f t="shared" si="31"/>
        <v>0</v>
      </c>
      <c r="R88" s="18">
        <f t="shared" si="31"/>
        <v>0</v>
      </c>
      <c r="S88" s="18">
        <f t="shared" si="31"/>
        <v>0</v>
      </c>
      <c r="T88" s="18">
        <f t="shared" si="31"/>
        <v>0</v>
      </c>
      <c r="U88" s="18">
        <f t="shared" si="31"/>
        <v>0</v>
      </c>
      <c r="V88" s="18">
        <f t="shared" si="31"/>
        <v>0</v>
      </c>
      <c r="W88" s="18">
        <f t="shared" si="31"/>
        <v>0</v>
      </c>
    </row>
    <row r="90" spans="2:23" x14ac:dyDescent="0.2">
      <c r="H90" s="27"/>
      <c r="I90" s="27"/>
      <c r="J90" s="27"/>
      <c r="K90" s="27"/>
      <c r="L90" s="27"/>
      <c r="M90" s="27"/>
      <c r="N90" s="27"/>
      <c r="O90" s="27"/>
      <c r="P90" s="27"/>
      <c r="Q90" s="27"/>
      <c r="R90" s="27"/>
      <c r="S90" s="27"/>
      <c r="T90" s="27"/>
    </row>
    <row r="91" spans="2:23" x14ac:dyDescent="0.2">
      <c r="B91" s="37"/>
      <c r="C91" s="67">
        <v>2021</v>
      </c>
      <c r="D91" s="67">
        <v>2022</v>
      </c>
      <c r="E91" s="67">
        <v>2023</v>
      </c>
      <c r="F91" s="67">
        <v>2024</v>
      </c>
      <c r="G91" s="67">
        <v>2025</v>
      </c>
      <c r="H91" s="67">
        <v>2026</v>
      </c>
      <c r="I91" s="67">
        <v>2027</v>
      </c>
      <c r="J91" s="67">
        <v>2028</v>
      </c>
      <c r="K91" s="67">
        <v>2029</v>
      </c>
      <c r="L91" s="67">
        <v>2030</v>
      </c>
      <c r="M91" s="67">
        <v>2031</v>
      </c>
      <c r="N91" s="67">
        <v>2032</v>
      </c>
      <c r="O91" s="67">
        <v>2033</v>
      </c>
      <c r="P91" s="67">
        <v>2034</v>
      </c>
      <c r="Q91" s="67">
        <v>2035</v>
      </c>
      <c r="R91" s="67">
        <v>2036</v>
      </c>
      <c r="S91" s="67">
        <v>2037</v>
      </c>
      <c r="T91" s="67">
        <v>2038</v>
      </c>
      <c r="U91" s="67">
        <v>2039</v>
      </c>
      <c r="V91" s="67">
        <v>2040</v>
      </c>
      <c r="W91" s="67">
        <v>2041</v>
      </c>
    </row>
    <row r="92" spans="2:23" x14ac:dyDescent="0.2">
      <c r="B92" s="84" t="s">
        <v>76</v>
      </c>
      <c r="C92" s="88">
        <f>C57</f>
        <v>24.503830000000001</v>
      </c>
      <c r="D92" s="88">
        <f>D57</f>
        <v>24.733491557672103</v>
      </c>
      <c r="E92" s="88">
        <f>E57</f>
        <v>25.669613830669952</v>
      </c>
      <c r="F92" s="88">
        <f>F57</f>
        <v>27.071291453606207</v>
      </c>
      <c r="G92" s="88">
        <f>G57</f>
        <v>28.628811353557538</v>
      </c>
      <c r="H92" s="88">
        <f t="shared" ref="H92:W92" si="32">G92*(1+H106/100)*H43-H60-H61+H62+H63+H64+H65+H66+H72</f>
        <v>29.434736131451963</v>
      </c>
      <c r="I92" s="88">
        <f t="shared" si="32"/>
        <v>29.44618853648014</v>
      </c>
      <c r="J92" s="88">
        <f t="shared" si="32"/>
        <v>29.242245472814361</v>
      </c>
      <c r="K92" s="88">
        <f t="shared" si="32"/>
        <v>29.283214683409046</v>
      </c>
      <c r="L92" s="88">
        <f t="shared" si="32"/>
        <v>29.385673711227003</v>
      </c>
      <c r="M92" s="88">
        <f t="shared" si="32"/>
        <v>29.551479679620726</v>
      </c>
      <c r="N92" s="88">
        <f t="shared" si="32"/>
        <v>29.789676192438094</v>
      </c>
      <c r="O92" s="88">
        <f t="shared" si="32"/>
        <v>30.069320820586015</v>
      </c>
      <c r="P92" s="88">
        <f t="shared" si="32"/>
        <v>30.383810480391684</v>
      </c>
      <c r="Q92" s="88">
        <f t="shared" si="32"/>
        <v>30.722119367867826</v>
      </c>
      <c r="R92" s="88">
        <f t="shared" si="32"/>
        <v>31.082754023138381</v>
      </c>
      <c r="S92" s="88">
        <f t="shared" si="32"/>
        <v>31.445144526745736</v>
      </c>
      <c r="T92" s="88">
        <f t="shared" si="32"/>
        <v>31.807566807367856</v>
      </c>
      <c r="U92" s="88">
        <f t="shared" si="32"/>
        <v>32.155375202813907</v>
      </c>
      <c r="V92" s="88">
        <f t="shared" si="32"/>
        <v>32.481528507307416</v>
      </c>
      <c r="W92" s="88">
        <f t="shared" si="32"/>
        <v>32.827445009787077</v>
      </c>
    </row>
    <row r="93" spans="2:23" x14ac:dyDescent="0.2">
      <c r="B93" s="15" t="s">
        <v>99</v>
      </c>
      <c r="C93" s="23"/>
      <c r="D93" s="174">
        <f>'Input data'!C66*$D$92</f>
        <v>20.74465291918969</v>
      </c>
      <c r="E93" s="23">
        <f t="shared" ref="E93:W93" si="33">IF(E92=0,0,IF(E87=1,D92*E43/((1+E24/100)*(1+E42/100))-E94-E95,IF(AND(E87=0,E88=1),(1-D98-E39*D99)*D92*E43/((1+E24/100)*(1+E42/100)),E92)))</f>
        <v>20.591005930685132</v>
      </c>
      <c r="F93" s="23">
        <f t="shared" si="33"/>
        <v>23.718267809310912</v>
      </c>
      <c r="G93" s="23">
        <f t="shared" si="33"/>
        <v>25.037631618686525</v>
      </c>
      <c r="H93" s="23">
        <f t="shared" si="33"/>
        <v>26.048679683771166</v>
      </c>
      <c r="I93" s="23">
        <f t="shared" si="33"/>
        <v>26.477892691146415</v>
      </c>
      <c r="J93" s="23">
        <f t="shared" si="33"/>
        <v>26.436879385286584</v>
      </c>
      <c r="K93" s="23">
        <f t="shared" si="33"/>
        <v>26.228987629832005</v>
      </c>
      <c r="L93" s="23">
        <f t="shared" si="33"/>
        <v>26.067927570627237</v>
      </c>
      <c r="M93" s="23">
        <f t="shared" si="33"/>
        <v>25.963623007513487</v>
      </c>
      <c r="N93" s="23">
        <f t="shared" si="33"/>
        <v>25.913487745848869</v>
      </c>
      <c r="O93" s="23">
        <f t="shared" si="33"/>
        <v>25.905675411074935</v>
      </c>
      <c r="P93" s="23">
        <f t="shared" si="33"/>
        <v>26.145577256666318</v>
      </c>
      <c r="Q93" s="23">
        <f t="shared" si="33"/>
        <v>26.41568686302584</v>
      </c>
      <c r="R93" s="23">
        <f t="shared" si="33"/>
        <v>26.70639793233655</v>
      </c>
      <c r="S93" s="23">
        <f t="shared" si="33"/>
        <v>27.005355753202231</v>
      </c>
      <c r="T93" s="23">
        <f t="shared" si="33"/>
        <v>27.297579757220657</v>
      </c>
      <c r="U93" s="23">
        <f t="shared" si="33"/>
        <v>27.583514395473802</v>
      </c>
      <c r="V93" s="23">
        <f t="shared" si="33"/>
        <v>27.86075073811968</v>
      </c>
      <c r="W93" s="23">
        <f t="shared" si="33"/>
        <v>28.158070847188306</v>
      </c>
    </row>
    <row r="94" spans="2:23" x14ac:dyDescent="0.2">
      <c r="B94" s="83" t="s">
        <v>100</v>
      </c>
      <c r="C94" s="23"/>
      <c r="D94" s="174">
        <f>'Input data'!C67*$D$92</f>
        <v>1.5656344655991252</v>
      </c>
      <c r="E94" s="23">
        <f t="shared" ref="E94:W94" si="34">IF(E92=0,0,IF(E87=1,E39*D92*D99*E43/((1+E24/100)*(1+E42/100)),IF(AND(E87=0,E88=1),(E39*D92*D99*E43/((1+E24/100)*(1+E42/100)))*(1-ABS(E92-D92*E43/((1+E24/100)*(1+E42/100)))/((E39*D92*D99*E43/((1+E24/100)*(1+E42/100)))+(D98*D92*E43/((1+E24/100)*(1+E42/100))))),0)))</f>
        <v>2.9950554895787773</v>
      </c>
      <c r="F94" s="23">
        <f t="shared" si="34"/>
        <v>2.3742009819130046E-2</v>
      </c>
      <c r="G94" s="23">
        <f t="shared" si="34"/>
        <v>0.22291506225889368</v>
      </c>
      <c r="H94" s="23">
        <f t="shared" si="34"/>
        <v>0.44103431224337847</v>
      </c>
      <c r="I94" s="23">
        <f t="shared" si="34"/>
        <v>0.66427469027619901</v>
      </c>
      <c r="J94" s="23">
        <f t="shared" si="34"/>
        <v>0.88237174321563328</v>
      </c>
      <c r="K94" s="23">
        <f t="shared" si="34"/>
        <v>1.0963802913287186</v>
      </c>
      <c r="L94" s="23">
        <f t="shared" si="34"/>
        <v>1.3128479484327862</v>
      </c>
      <c r="M94" s="23">
        <f t="shared" si="34"/>
        <v>1.5335862713586088</v>
      </c>
      <c r="N94" s="23">
        <f t="shared" si="34"/>
        <v>1.7599494288982014</v>
      </c>
      <c r="O94" s="23">
        <f t="shared" si="34"/>
        <v>1.9925378156125022</v>
      </c>
      <c r="P94" s="23">
        <f t="shared" si="34"/>
        <v>2.0109898919158944</v>
      </c>
      <c r="Q94" s="23">
        <f t="shared" si="34"/>
        <v>2.031765401393693</v>
      </c>
      <c r="R94" s="23">
        <f t="shared" si="34"/>
        <v>2.0541254746142159</v>
      </c>
      <c r="S94" s="23">
        <f t="shared" si="34"/>
        <v>2.077119847619187</v>
      </c>
      <c r="T94" s="23">
        <f t="shared" si="34"/>
        <v>2.0995962883757753</v>
      </c>
      <c r="U94" s="23">
        <f t="shared" si="34"/>
        <v>2.121588981886839</v>
      </c>
      <c r="V94" s="23">
        <f t="shared" si="34"/>
        <v>2.1429126450540172</v>
      </c>
      <c r="W94" s="23">
        <f t="shared" si="34"/>
        <v>2.1657810532796526</v>
      </c>
    </row>
    <row r="95" spans="2:23" x14ac:dyDescent="0.2">
      <c r="B95" s="83" t="s">
        <v>101</v>
      </c>
      <c r="C95" s="23"/>
      <c r="D95" s="174">
        <f>'Input data'!C68*$D$92</f>
        <v>0.56009090882314594</v>
      </c>
      <c r="E95" s="23">
        <f t="shared" ref="E95:W95" si="35">IF(E92=0,0,IF(E87=1,(1-D99)*D92*E43/((1+E24/100)*(1+E42/100)),IF(AND(E87=0,E88=1),(D98*D92*E43/((1+E24/100)*(1+E42/100)))*(1-ABS(E92-D92*E43/((1+E24/100)*(1+E42/100)))/((E39*D92*D99*E43/((1+E24/100)*(1+E42/100)))+(D98*D92*E43/((1+E24/100)*(1+E42/100))))),0)))</f>
        <v>0.59212534325230182</v>
      </c>
      <c r="F95" s="23">
        <f t="shared" si="35"/>
        <v>0.59364428199006292</v>
      </c>
      <c r="G95" s="23">
        <f t="shared" si="35"/>
        <v>0.62743836030925526</v>
      </c>
      <c r="H95" s="23">
        <f t="shared" si="35"/>
        <v>0.65424136641069564</v>
      </c>
      <c r="I95" s="23">
        <f t="shared" si="35"/>
        <v>0.66754847412007867</v>
      </c>
      <c r="J95" s="23">
        <f t="shared" si="35"/>
        <v>0.67004345040748248</v>
      </c>
      <c r="K95" s="23">
        <f t="shared" si="35"/>
        <v>0.66883876934477426</v>
      </c>
      <c r="L95" s="23">
        <f t="shared" si="35"/>
        <v>0.66886029217645726</v>
      </c>
      <c r="M95" s="23">
        <f t="shared" si="35"/>
        <v>0.67038119752601377</v>
      </c>
      <c r="N95" s="23">
        <f t="shared" si="35"/>
        <v>0.67336832833105342</v>
      </c>
      <c r="O95" s="23">
        <f t="shared" si="35"/>
        <v>0.67753659131176469</v>
      </c>
      <c r="P95" s="23">
        <f t="shared" si="35"/>
        <v>0.68252963539784173</v>
      </c>
      <c r="Q95" s="23">
        <f t="shared" si="35"/>
        <v>0.68832171413419951</v>
      </c>
      <c r="R95" s="23">
        <f t="shared" si="35"/>
        <v>0.69466980204979256</v>
      </c>
      <c r="S95" s="23">
        <f t="shared" si="35"/>
        <v>0.70125290708180987</v>
      </c>
      <c r="T95" s="23">
        <f t="shared" si="35"/>
        <v>0.70768794928128631</v>
      </c>
      <c r="U95" s="23">
        <f t="shared" si="35"/>
        <v>0.71398262802992762</v>
      </c>
      <c r="V95" s="23">
        <f t="shared" si="35"/>
        <v>0.720080567948989</v>
      </c>
      <c r="W95" s="23">
        <f t="shared" si="35"/>
        <v>0.72673197874403117</v>
      </c>
    </row>
    <row r="96" spans="2:23" x14ac:dyDescent="0.2">
      <c r="B96" s="83" t="s">
        <v>102</v>
      </c>
      <c r="C96" s="23"/>
      <c r="D96" s="174">
        <f>'Input data'!C69*$D$92</f>
        <v>1.8174793796364404</v>
      </c>
      <c r="E96" s="23">
        <f>IF(E92=0,0,IF(E87=1,'Input data'!$C$58*(E92-D92*E43/((1+E24/100)*(1+E42/100))),0))</f>
        <v>1.4573674963638568</v>
      </c>
      <c r="F96" s="23">
        <f>IF(F92=0,0,IF(F87=1,'Input data'!$C$58*(F92-E92*F43/((1+F24/100)*(1+F42/100))),0))</f>
        <v>2.6731638758311114</v>
      </c>
      <c r="G96" s="23">
        <f>IF(G92=0,0,IF(G87=1,'Input data'!$C$58*(G92-F92*G43/((1+G24/100)*(1+G42/100))),0))</f>
        <v>2.6782343358914318</v>
      </c>
      <c r="H96" s="23">
        <f>IF(H92=0,0,IF(H87=1,'Input data'!$C$58*(H92-G92*H43/((1+H24/100)*(1+H42/100))),0))</f>
        <v>2.2384664376825381</v>
      </c>
      <c r="I96" s="23">
        <f>IF(I92=0,0,IF(I87=1,'Input data'!$C$58*(I92-H92*I43/((1+I24/100)*(1+I42/100))),0))</f>
        <v>1.5991007179701477</v>
      </c>
      <c r="J96" s="23">
        <f>IF(J92=0,0,IF(J87=1,'Input data'!$C$58*(J92-I92*J43/((1+J24/100)*(1+J42/100))),0))</f>
        <v>1.2243373796356494</v>
      </c>
      <c r="K96" s="23">
        <f>IF(K92=0,0,IF(K87=1,'Input data'!$C$58*(K92-J92*K43/((1+K24/100)*(1+K42/100))),0))</f>
        <v>1.2595710462704102</v>
      </c>
      <c r="L96" s="23">
        <f>IF(L92=0,0,IF(L87=1,'Input data'!$C$58*(L92-K92*L43/((1+L24/100)*(1+L42/100))),0))</f>
        <v>1.3055269360722286</v>
      </c>
      <c r="M96" s="23">
        <f>IF(M92=0,0,IF(M87=1,'Input data'!$C$58*(M92-L92*M43/((1+M24/100)*(1+M42/100))),0))</f>
        <v>1.3522854638775443</v>
      </c>
      <c r="N96" s="23">
        <f>IF(N92=0,0,IF(N87=1,'Input data'!$C$58*(N92-M92*N43/((1+N24/100)*(1+N42/100))),0))</f>
        <v>1.4099199957141226</v>
      </c>
      <c r="O96" s="23">
        <f>IF(O92=0,0,IF(O87=1,'Input data'!$C$58*(O92-N92*O43/((1+O24/100)*(1+O42/100))),0))</f>
        <v>1.4594624709578405</v>
      </c>
      <c r="P96" s="23">
        <f>IF(P92=0,0,IF(P87=1,'Input data'!$C$58*(P92-O92*P43/((1+P24/100)*(1+P42/100))),0))</f>
        <v>1.5094372241980476</v>
      </c>
      <c r="Q96" s="23">
        <f>IF(Q92=0,0,IF(Q87=1,'Input data'!$C$58*(Q92-P92*Q43/((1+Q24/100)*(1+Q42/100))),0))</f>
        <v>1.5501181782928664</v>
      </c>
      <c r="R96" s="23">
        <f>IF(R92=0,0,IF(R87=1,'Input data'!$C$58*(R92-Q92*R43/((1+R24/100)*(1+R42/100))),0))</f>
        <v>1.5903923705814387</v>
      </c>
      <c r="S96" s="23">
        <f>IF(S92=0,0,IF(S87=1,'Input data'!$C$58*(S92-R92*S43/((1+S24/100)*(1+S42/100))),0))</f>
        <v>1.6234744273618043</v>
      </c>
      <c r="T96" s="23">
        <f>IF(T92=0,0,IF(T87=1,'Input data'!$C$58*(T92-S92*T43/((1+T24/100)*(1+T42/100))),0))</f>
        <v>1.6638183586315816</v>
      </c>
      <c r="U96" s="23">
        <f>IF(U92=0,0,IF(U87=1,'Input data'!$C$58*(U92-T92*U43/((1+U24/100)*(1+U42/100))),0))</f>
        <v>1.696637734650702</v>
      </c>
      <c r="V96" s="23">
        <f>IF(V92=0,0,IF(V87=1,'Input data'!$C$58*(V92-U92*V43/((1+V24/100)*(1+V42/100))),0))</f>
        <v>1.7176422060535925</v>
      </c>
      <c r="W96" s="23">
        <f>IF(W92=0,0,IF(W87=1,'Input data'!$C$58*(W92-V92*W43/((1+W24/100)*(1+W42/100))),0))</f>
        <v>1.7362831306222584</v>
      </c>
    </row>
    <row r="97" spans="2:25" x14ac:dyDescent="0.2">
      <c r="B97" s="85" t="s">
        <v>103</v>
      </c>
      <c r="C97" s="35"/>
      <c r="D97" s="175">
        <f>'Input data'!C70*$D$92</f>
        <v>4.5627084426023846E-2</v>
      </c>
      <c r="E97" s="35">
        <f>IF(E92=0,0,IF(E87=1,'Input data'!$C$57*(E92-D92*E43/((1+E24/100)*(1+E42/100))),0))</f>
        <v>3.4059570789883246E-2</v>
      </c>
      <c r="F97" s="35">
        <f>IF(F92=0,0,IF(F87=1,'Input data'!$C$57*(F92-E92*F43/((1+F24/100)*(1+F42/100))),0))</f>
        <v>6.2473476654989847E-2</v>
      </c>
      <c r="G97" s="35">
        <f>IF(G92=0,0,IF(G87=1,'Input data'!$C$57*(G92-F92*G43/((1+G24/100)*(1+G42/100))),0))</f>
        <v>6.2591976411429204E-2</v>
      </c>
      <c r="H97" s="35">
        <f>IF(H92=0,0,IF(H87=1,'Input data'!$C$57*(H92-G92*H43/((1+H24/100)*(1+H42/100))),0))</f>
        <v>5.2314331344186414E-2</v>
      </c>
      <c r="I97" s="35">
        <f>IF(I92=0,0,IF(I87=1,'Input data'!$C$57*(I92-H92*I43/((1+I24/100)*(1+I42/100))),0))</f>
        <v>3.7371962967300408E-2</v>
      </c>
      <c r="J97" s="35">
        <f>IF(J92=0,0,IF(J87=1,'Input data'!$C$57*(J92-I92*J43/((1+J24/100)*(1+J42/100))),0))</f>
        <v>2.8613514269011348E-2</v>
      </c>
      <c r="K97" s="35">
        <f>IF(K92=0,0,IF(K87=1,'Input data'!$C$57*(K92-J92*K43/((1+K24/100)*(1+K42/100))),0))</f>
        <v>2.9436946633139068E-2</v>
      </c>
      <c r="L97" s="35">
        <f>IF(L92=0,0,IF(L87=1,'Input data'!$C$57*(L92-K92*L43/((1+L24/100)*(1+L42/100))),0))</f>
        <v>3.0510963918293558E-2</v>
      </c>
      <c r="M97" s="35">
        <f>IF(M92=0,0,IF(M87=1,'Input data'!$C$57*(M92-L92*M43/((1+M24/100)*(1+M42/100))),0))</f>
        <v>3.1603739345074627E-2</v>
      </c>
      <c r="N97" s="35">
        <f>IF(N92=0,0,IF(N87=1,'Input data'!$C$57*(N92-M92*N43/((1+N24/100)*(1+N42/100))),0))</f>
        <v>3.2950693645844638E-2</v>
      </c>
      <c r="O97" s="35">
        <f>IF(O92=0,0,IF(O87=1,'Input data'!$C$57*(O92-N92*O43/((1+O24/100)*(1+O42/100))),0))</f>
        <v>3.4108531628974842E-2</v>
      </c>
      <c r="P97" s="35">
        <f>IF(P92=0,0,IF(P87=1,'Input data'!$C$57*(P92-O92*P43/((1+P24/100)*(1+P42/100))),0))</f>
        <v>3.5276472213582759E-2</v>
      </c>
      <c r="Q97" s="35">
        <f>IF(Q92=0,0,IF(Q87=1,'Input data'!$C$57*(Q92-P92*Q43/((1+Q24/100)*(1+Q42/100))),0))</f>
        <v>3.6227211021227022E-2</v>
      </c>
      <c r="R97" s="35">
        <f>IF(R92=0,0,IF(R87=1,'Input data'!$C$57*(R92-Q92*R43/((1+R24/100)*(1+R42/100))),0))</f>
        <v>3.7168443556384045E-2</v>
      </c>
      <c r="S97" s="35">
        <f>IF(S92=0,0,IF(S87=1,'Input data'!$C$57*(S92-R92*S43/((1+S24/100)*(1+S42/100))),0))</f>
        <v>3.7941591480704494E-2</v>
      </c>
      <c r="T97" s="35">
        <f>IF(T92=0,0,IF(T87=1,'Input data'!$C$57*(T92-S92*T43/((1+T24/100)*(1+T42/100))),0))</f>
        <v>3.8884453858556031E-2</v>
      </c>
      <c r="U97" s="35">
        <f>IF(U92=0,0,IF(U87=1,'Input data'!$C$57*(U92-T92*U43/((1+U24/100)*(1+U42/100))),0))</f>
        <v>3.9651462772637057E-2</v>
      </c>
      <c r="V97" s="35">
        <f>IF(V92=0,0,IF(V87=1,'Input data'!$C$57*(V92-U92*V43/((1+V24/100)*(1+V42/100))),0))</f>
        <v>4.0142350131135006E-2</v>
      </c>
      <c r="W97" s="35">
        <f>IF(W92=0,0,IF(W87=1,'Input data'!$C$57*(W92-V92*W43/((1+W24/100)*(1+W42/100))),0))</f>
        <v>4.0577999952830242E-2</v>
      </c>
    </row>
    <row r="98" spans="2:25" x14ac:dyDescent="0.2">
      <c r="B98" s="15" t="s">
        <v>51</v>
      </c>
      <c r="C98" s="25"/>
      <c r="D98" s="179">
        <f>'Baseline NFPC'!$D$93</f>
        <v>2.449006408312604E-2</v>
      </c>
      <c r="E98" s="25">
        <f t="shared" ref="E98:W98" si="36">IF(E92&lt;&gt;0,(E95+E97)/(E93+E94+E95+E96+E97),0)</f>
        <v>2.4394013800629201E-2</v>
      </c>
      <c r="F98" s="25">
        <f t="shared" si="36"/>
        <v>2.4236662656803184E-2</v>
      </c>
      <c r="G98" s="25">
        <f t="shared" si="36"/>
        <v>2.4102654078054776E-2</v>
      </c>
      <c r="H98" s="25">
        <f t="shared" si="36"/>
        <v>2.4004145802411475E-2</v>
      </c>
      <c r="I98" s="25">
        <f t="shared" si="36"/>
        <v>2.3939276087092592E-2</v>
      </c>
      <c r="J98" s="25">
        <f t="shared" si="36"/>
        <v>2.3892042262144825E-2</v>
      </c>
      <c r="K98" s="25">
        <f t="shared" si="36"/>
        <v>2.3845596309258168E-2</v>
      </c>
      <c r="L98" s="25">
        <f t="shared" si="36"/>
        <v>2.3799735305287593E-2</v>
      </c>
      <c r="M98" s="25">
        <f t="shared" si="36"/>
        <v>2.3754645942659542E-2</v>
      </c>
      <c r="N98" s="25">
        <f t="shared" si="36"/>
        <v>2.3710194680001E-2</v>
      </c>
      <c r="O98" s="25">
        <f t="shared" si="36"/>
        <v>2.3666817324770904E-2</v>
      </c>
      <c r="P98" s="25">
        <f t="shared" si="36"/>
        <v>2.3624624306903954E-2</v>
      </c>
      <c r="Q98" s="25">
        <f t="shared" si="36"/>
        <v>2.3583949937816796E-2</v>
      </c>
      <c r="R98" s="25">
        <f t="shared" si="36"/>
        <v>2.3544832773228115E-2</v>
      </c>
      <c r="S98" s="25">
        <f t="shared" si="36"/>
        <v>2.3507428879323194E-2</v>
      </c>
      <c r="T98" s="25">
        <f t="shared" si="36"/>
        <v>2.3471534545890113E-2</v>
      </c>
      <c r="U98" s="25">
        <f>IF(U92&lt;&gt;0,(U95+U97)/(U93+U94+U95+U96+U97),0)</f>
        <v>2.343726627505234E-2</v>
      </c>
      <c r="V98" s="25">
        <f t="shared" si="36"/>
        <v>2.3404776591997373E-2</v>
      </c>
      <c r="W98" s="23">
        <f t="shared" si="36"/>
        <v>2.3374038962462595E-2</v>
      </c>
    </row>
    <row r="99" spans="2:25" x14ac:dyDescent="0.2">
      <c r="B99" s="24" t="s">
        <v>52</v>
      </c>
      <c r="C99" s="86"/>
      <c r="D99" s="180">
        <f>'Baseline NFPC'!$D$94</f>
        <v>0.97550993591687396</v>
      </c>
      <c r="E99" s="86">
        <f t="shared" ref="E99:W99" si="37">IF(E92&lt;&gt;0,(E93+E94+E96)/(E93+E94+E95+E96+E97),1)</f>
        <v>0.97560598619937078</v>
      </c>
      <c r="F99" s="86">
        <f t="shared" si="37"/>
        <v>0.97576333734319687</v>
      </c>
      <c r="G99" s="86">
        <f t="shared" si="37"/>
        <v>0.97589734592194521</v>
      </c>
      <c r="H99" s="86">
        <f t="shared" si="37"/>
        <v>0.97599585419758861</v>
      </c>
      <c r="I99" s="86">
        <f t="shared" si="37"/>
        <v>0.97606072391290744</v>
      </c>
      <c r="J99" s="86">
        <f t="shared" si="37"/>
        <v>0.97610795773785519</v>
      </c>
      <c r="K99" s="86">
        <f t="shared" si="37"/>
        <v>0.9761544036907418</v>
      </c>
      <c r="L99" s="86">
        <f t="shared" si="37"/>
        <v>0.97620026469471244</v>
      </c>
      <c r="M99" s="86">
        <f t="shared" si="37"/>
        <v>0.97624535405734048</v>
      </c>
      <c r="N99" s="86">
        <f t="shared" si="37"/>
        <v>0.97628980531999898</v>
      </c>
      <c r="O99" s="86">
        <f t="shared" si="37"/>
        <v>0.97633318267522917</v>
      </c>
      <c r="P99" s="86">
        <f t="shared" si="37"/>
        <v>0.97637537569309607</v>
      </c>
      <c r="Q99" s="86">
        <f t="shared" si="37"/>
        <v>0.97641605006218313</v>
      </c>
      <c r="R99" s="86">
        <f t="shared" si="37"/>
        <v>0.97645516722677184</v>
      </c>
      <c r="S99" s="86">
        <f t="shared" si="37"/>
        <v>0.97649257112067678</v>
      </c>
      <c r="T99" s="86">
        <f t="shared" si="37"/>
        <v>0.97652846545410987</v>
      </c>
      <c r="U99" s="86">
        <f t="shared" si="37"/>
        <v>0.97656273372494773</v>
      </c>
      <c r="V99" s="86">
        <f t="shared" si="37"/>
        <v>0.97659522340800264</v>
      </c>
      <c r="W99" s="35">
        <f t="shared" si="37"/>
        <v>0.97662596103753752</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90" t="s">
        <v>104</v>
      </c>
      <c r="C101" s="92">
        <f>'Baseline NFPC'!C96</f>
        <v>0.72664200000000001</v>
      </c>
      <c r="D101" s="92">
        <f>'Baseline NFPC'!D96</f>
        <v>0.70384469999999999</v>
      </c>
      <c r="E101" s="92">
        <f>'Baseline NFPC'!E96</f>
        <v>1.2501800000000001</v>
      </c>
      <c r="F101" s="92">
        <f>'Baseline NFPC'!F96</f>
        <v>1.5276190000000001</v>
      </c>
      <c r="G101" s="92">
        <f>'Baseline NFPC'!G96</f>
        <v>1.6779250000000001</v>
      </c>
      <c r="H101" s="92">
        <f t="shared" ref="H101:W101" si="38">H103+H104</f>
        <v>1.8076504159462488</v>
      </c>
      <c r="I101" s="92">
        <f t="shared" si="38"/>
        <v>1.915575898410242</v>
      </c>
      <c r="J101" s="92">
        <f>J103+J104</f>
        <v>2.001132910047454</v>
      </c>
      <c r="K101" s="92">
        <f t="shared" si="38"/>
        <v>2.0777696003303627</v>
      </c>
      <c r="L101" s="92">
        <f t="shared" si="38"/>
        <v>2.160162698137885</v>
      </c>
      <c r="M101" s="92">
        <f t="shared" si="38"/>
        <v>2.2473481043520294</v>
      </c>
      <c r="N101" s="92">
        <f t="shared" si="38"/>
        <v>2.3379592142661361</v>
      </c>
      <c r="O101" s="92">
        <f t="shared" si="38"/>
        <v>2.4309285943829524</v>
      </c>
      <c r="P101" s="92">
        <f t="shared" si="38"/>
        <v>2.5242666869474162</v>
      </c>
      <c r="Q101" s="92">
        <f t="shared" si="38"/>
        <v>2.6119127579871693</v>
      </c>
      <c r="R101" s="92">
        <f t="shared" si="38"/>
        <v>2.6941866269715082</v>
      </c>
      <c r="S101" s="92">
        <f t="shared" si="38"/>
        <v>2.7716191422797687</v>
      </c>
      <c r="T101" s="92">
        <f t="shared" si="38"/>
        <v>2.8445908556345119</v>
      </c>
      <c r="U101" s="92">
        <f t="shared" si="38"/>
        <v>2.9137264198070763</v>
      </c>
      <c r="V101" s="92">
        <f t="shared" si="38"/>
        <v>2.9793309473288856</v>
      </c>
      <c r="W101" s="92">
        <f t="shared" si="38"/>
        <v>3.0416416440119143</v>
      </c>
    </row>
    <row r="102" spans="2:25" x14ac:dyDescent="0.2">
      <c r="B102" s="22" t="s">
        <v>105</v>
      </c>
      <c r="C102" s="23"/>
      <c r="D102" s="23"/>
      <c r="E102" s="184">
        <f>((E36*D92)-(E38*(D95+D97)))/(D93+D94+D96)</f>
        <v>1.1954568377730643</v>
      </c>
      <c r="F102" s="184">
        <f>((F36*E92)-(F38*(E95+E97)))/(E93+E94+E96)</f>
        <v>1.4766962085504025</v>
      </c>
      <c r="G102" s="184">
        <f>((G36*F92)-(G38*(F95+F97)))/(F93+F94+F96)</f>
        <v>1.649647417162377</v>
      </c>
      <c r="H102" s="23">
        <f t="shared" ref="H102:W102" si="39">IF(G92&gt;0,(G102*G93+H37*(G96+G94))/(G93+G94+G96),H37)</f>
        <v>1.7830157283999519</v>
      </c>
      <c r="I102" s="23">
        <f t="shared" si="39"/>
        <v>1.8939763093273241</v>
      </c>
      <c r="J102" s="23">
        <f t="shared" si="39"/>
        <v>1.9819683274217625</v>
      </c>
      <c r="K102" s="23">
        <f t="shared" si="39"/>
        <v>2.0607958170773979</v>
      </c>
      <c r="L102" s="23">
        <f t="shared" si="39"/>
        <v>2.145511110950387</v>
      </c>
      <c r="M102" s="23">
        <f t="shared" si="39"/>
        <v>2.2351261038025685</v>
      </c>
      <c r="N102" s="23">
        <f t="shared" si="39"/>
        <v>2.3282403506820608</v>
      </c>
      <c r="O102" s="23">
        <f t="shared" si="39"/>
        <v>2.4237602982980531</v>
      </c>
      <c r="P102" s="23">
        <f t="shared" si="39"/>
        <v>2.5202544259878996</v>
      </c>
      <c r="Q102" s="23">
        <f t="shared" si="39"/>
        <v>2.6109069623422774</v>
      </c>
      <c r="R102" s="23">
        <f t="shared" si="39"/>
        <v>2.6960466977672368</v>
      </c>
      <c r="S102" s="23">
        <f t="shared" si="39"/>
        <v>2.7762185439908613</v>
      </c>
      <c r="T102" s="23">
        <f t="shared" si="39"/>
        <v>2.8518134171811096</v>
      </c>
      <c r="U102" s="23">
        <f t="shared" si="39"/>
        <v>2.9234720124874403</v>
      </c>
      <c r="V102" s="23">
        <f t="shared" si="39"/>
        <v>2.991507761718796</v>
      </c>
      <c r="W102" s="23">
        <f t="shared" si="39"/>
        <v>3.05616455492286</v>
      </c>
    </row>
    <row r="103" spans="2:25" x14ac:dyDescent="0.2">
      <c r="B103" s="15" t="s">
        <v>106</v>
      </c>
      <c r="C103" s="23"/>
      <c r="D103" s="23"/>
      <c r="E103" s="23">
        <f t="shared" ref="E103:W103" si="40">(E102*(D93+D94+D96)+E38*(D95+D97))/D92</f>
        <v>1.2501800000000001</v>
      </c>
      <c r="F103" s="23">
        <f t="shared" si="40"/>
        <v>1.5276190000000001</v>
      </c>
      <c r="G103" s="23">
        <f t="shared" si="40"/>
        <v>1.6779249999999999</v>
      </c>
      <c r="H103" s="23">
        <f t="shared" si="40"/>
        <v>1.8076504159462488</v>
      </c>
      <c r="I103" s="23">
        <f t="shared" si="40"/>
        <v>1.915575898410242</v>
      </c>
      <c r="J103" s="23">
        <f t="shared" si="40"/>
        <v>2.001132910047454</v>
      </c>
      <c r="K103" s="23">
        <f t="shared" si="40"/>
        <v>2.0777696003303627</v>
      </c>
      <c r="L103" s="23">
        <f t="shared" si="40"/>
        <v>2.160162698137885</v>
      </c>
      <c r="M103" s="23">
        <f t="shared" si="40"/>
        <v>2.2473481043520294</v>
      </c>
      <c r="N103" s="23">
        <f t="shared" si="40"/>
        <v>2.3379592142661361</v>
      </c>
      <c r="O103" s="23">
        <f t="shared" si="40"/>
        <v>2.4309285943829524</v>
      </c>
      <c r="P103" s="23">
        <f t="shared" si="40"/>
        <v>2.5242666869474162</v>
      </c>
      <c r="Q103" s="23">
        <f t="shared" si="40"/>
        <v>2.6119127579871693</v>
      </c>
      <c r="R103" s="23">
        <f t="shared" si="40"/>
        <v>2.6941866269715082</v>
      </c>
      <c r="S103" s="23">
        <f t="shared" si="40"/>
        <v>2.7716191422797687</v>
      </c>
      <c r="T103" s="23">
        <f t="shared" si="40"/>
        <v>2.8445908556345119</v>
      </c>
      <c r="U103" s="23">
        <f t="shared" si="40"/>
        <v>2.9137264198070763</v>
      </c>
      <c r="V103" s="23">
        <f t="shared" si="40"/>
        <v>2.9793309473288856</v>
      </c>
      <c r="W103" s="23">
        <f t="shared" si="40"/>
        <v>3.0416416440119143</v>
      </c>
    </row>
    <row r="104" spans="2:25" x14ac:dyDescent="0.2">
      <c r="B104" s="24" t="s">
        <v>107</v>
      </c>
      <c r="C104" s="91"/>
      <c r="D104" s="91"/>
      <c r="E104" s="35">
        <f>IF('Criteria results'!$F$5=4,E115,E120)</f>
        <v>0</v>
      </c>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90" t="s">
        <v>135</v>
      </c>
      <c r="C106" s="92">
        <f t="shared" ref="C106:W106" si="41">((1+C101/100)/((1+C24/100)*(1+C42/100))-1)*100</f>
        <v>-10.181920895997088</v>
      </c>
      <c r="D106" s="92">
        <f t="shared" si="41"/>
        <v>-6.0091482114178358</v>
      </c>
      <c r="E106" s="92">
        <f t="shared" si="41"/>
        <v>-1.0230417257739544</v>
      </c>
      <c r="F106" s="92">
        <f t="shared" si="41"/>
        <v>-3.7484053688254471</v>
      </c>
      <c r="G106" s="92">
        <f t="shared" si="41"/>
        <v>-2.7664932078749982</v>
      </c>
      <c r="H106" s="92">
        <f t="shared" si="41"/>
        <v>-3.4726840623636956</v>
      </c>
      <c r="I106" s="92">
        <f t="shared" si="41"/>
        <v>-3.7109354630733726</v>
      </c>
      <c r="J106" s="92">
        <f t="shared" si="41"/>
        <v>-3.045524792965093</v>
      </c>
      <c r="K106" s="92">
        <f t="shared" si="41"/>
        <v>-2.2788389026397016</v>
      </c>
      <c r="L106" s="92">
        <f t="shared" si="41"/>
        <v>-2.1434159780631012</v>
      </c>
      <c r="M106" s="92">
        <f t="shared" si="41"/>
        <v>-1.9909682179326538</v>
      </c>
      <c r="N106" s="92">
        <f t="shared" si="41"/>
        <v>-1.8338757693646568</v>
      </c>
      <c r="O106" s="92">
        <f t="shared" si="41"/>
        <v>-1.7431216697334717</v>
      </c>
      <c r="P106" s="92">
        <f t="shared" si="41"/>
        <v>-1.6703015231643747</v>
      </c>
      <c r="Q106" s="92">
        <f t="shared" si="41"/>
        <v>-1.602944122061678</v>
      </c>
      <c r="R106" s="92">
        <f t="shared" si="41"/>
        <v>-1.5407409782309034</v>
      </c>
      <c r="S106" s="92">
        <f t="shared" si="41"/>
        <v>-1.5234621561299511</v>
      </c>
      <c r="T106" s="92">
        <f t="shared" si="41"/>
        <v>-1.5389349638921801</v>
      </c>
      <c r="U106" s="92">
        <f t="shared" si="41"/>
        <v>-1.5787182320971094</v>
      </c>
      <c r="V106" s="92">
        <f t="shared" si="41"/>
        <v>-1.6055456878393159</v>
      </c>
      <c r="W106" s="92">
        <f t="shared" si="41"/>
        <v>-1.4977655315913552</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F108" s="23"/>
      <c r="G108" s="23"/>
      <c r="H108" s="173"/>
      <c r="I108" s="173"/>
      <c r="J108" s="173"/>
      <c r="K108" s="173"/>
      <c r="L108" s="173"/>
      <c r="M108" s="173"/>
      <c r="N108" s="173"/>
      <c r="O108" s="173"/>
      <c r="P108" s="173"/>
      <c r="Q108" s="173"/>
      <c r="R108" s="173"/>
      <c r="S108" s="173"/>
      <c r="T108" s="173"/>
      <c r="U108" s="23"/>
      <c r="V108" s="23"/>
      <c r="W108" s="23"/>
    </row>
    <row r="109" spans="2:25" x14ac:dyDescent="0.2">
      <c r="T109" s="47"/>
      <c r="U109" s="47"/>
      <c r="V109" s="47"/>
      <c r="W109" s="47"/>
      <c r="X109" s="47"/>
      <c r="Y109" s="47"/>
    </row>
    <row r="110" spans="2:25" s="14" customFormat="1" ht="12.75" outlineLevel="1" x14ac:dyDescent="0.2">
      <c r="B110" s="14" t="s">
        <v>108</v>
      </c>
      <c r="C110" s="89"/>
      <c r="D110" s="89"/>
      <c r="E110" s="89"/>
      <c r="F110" s="89"/>
      <c r="G110" s="89"/>
      <c r="H110" s="89"/>
      <c r="I110" s="89"/>
      <c r="J110" s="89"/>
      <c r="K110" s="89"/>
      <c r="L110" s="89"/>
      <c r="M110" s="89"/>
      <c r="N110" s="89"/>
      <c r="O110" s="89"/>
      <c r="P110" s="89"/>
      <c r="Q110" s="89"/>
      <c r="R110" s="89"/>
      <c r="S110" s="89"/>
      <c r="T110" s="89"/>
      <c r="U110" s="89"/>
      <c r="V110" s="89"/>
      <c r="W110" s="89"/>
    </row>
    <row r="111" spans="2:25" s="80" customFormat="1" ht="12.75" outlineLevel="1" x14ac:dyDescent="0.2">
      <c r="C111" s="99"/>
      <c r="D111" s="99"/>
      <c r="E111" s="99"/>
      <c r="F111" s="99"/>
      <c r="G111" s="99"/>
      <c r="H111" s="99"/>
      <c r="I111" s="99"/>
      <c r="J111" s="99"/>
      <c r="K111" s="99"/>
      <c r="L111" s="99"/>
      <c r="M111" s="99"/>
      <c r="N111" s="99"/>
      <c r="O111" s="99"/>
      <c r="P111" s="99"/>
      <c r="Q111" s="99"/>
      <c r="R111" s="99"/>
      <c r="S111" s="99"/>
      <c r="T111" s="99"/>
      <c r="U111" s="99"/>
      <c r="V111" s="99"/>
      <c r="W111" s="99"/>
    </row>
    <row r="112" spans="2:25" s="80" customFormat="1" ht="12.75" outlineLevel="1" x14ac:dyDescent="0.2">
      <c r="B112" s="84" t="s">
        <v>208</v>
      </c>
      <c r="C112" s="100"/>
      <c r="D112" s="100"/>
      <c r="E112" s="100"/>
      <c r="F112" s="100"/>
      <c r="G112" s="100"/>
      <c r="H112" s="26"/>
      <c r="I112" s="26"/>
      <c r="J112" s="26"/>
      <c r="K112" s="26"/>
      <c r="L112" s="26"/>
      <c r="M112" s="26"/>
      <c r="N112" s="26"/>
      <c r="O112" s="26"/>
      <c r="P112" s="26"/>
      <c r="Q112" s="26"/>
      <c r="R112" s="26"/>
      <c r="S112" s="26"/>
      <c r="T112" s="26"/>
      <c r="U112" s="100"/>
      <c r="V112" s="100"/>
      <c r="W112" s="100"/>
    </row>
    <row r="113" spans="1:51" outlineLevel="1" x14ac:dyDescent="0.2">
      <c r="B113" s="97" t="s">
        <v>21</v>
      </c>
      <c r="C113" s="23">
        <v>24.50383186340332</v>
      </c>
      <c r="D113" s="23">
        <v>24.733495712280273</v>
      </c>
      <c r="E113" s="23">
        <v>25.66961669921875</v>
      </c>
      <c r="F113" s="23">
        <v>27.071294784545898</v>
      </c>
      <c r="G113" s="23">
        <v>28.666948318481445</v>
      </c>
      <c r="H113" s="23">
        <v>29.577478408813477</v>
      </c>
      <c r="I113" s="23">
        <v>30.244894027709961</v>
      </c>
      <c r="J113" s="23">
        <v>30.732009887695313</v>
      </c>
      <c r="K113" s="23">
        <v>31.219663619995117</v>
      </c>
      <c r="L113" s="23">
        <v>31.653053283691406</v>
      </c>
      <c r="M113" s="23">
        <v>32.036464691162109</v>
      </c>
      <c r="N113" s="23">
        <v>32.5667724609375</v>
      </c>
      <c r="O113" s="23">
        <v>33.135883331298828</v>
      </c>
      <c r="P113" s="23">
        <v>33.736862182617188</v>
      </c>
      <c r="Q113" s="23">
        <v>34.358795166015625</v>
      </c>
      <c r="R113" s="23">
        <v>35.000316619873047</v>
      </c>
      <c r="S113" s="23">
        <v>35.639385223388672</v>
      </c>
      <c r="T113" s="23">
        <v>36.273002624511719</v>
      </c>
      <c r="U113" s="23">
        <v>36.885387420654297</v>
      </c>
      <c r="V113" s="23">
        <v>37.469947814941406</v>
      </c>
      <c r="W113" s="23">
        <v>38.074813842773438</v>
      </c>
      <c r="X113" s="93"/>
      <c r="Y113" s="47"/>
    </row>
    <row r="114" spans="1:51" x14ac:dyDescent="0.2">
      <c r="B114" s="15" t="s">
        <v>104</v>
      </c>
      <c r="C114" s="1">
        <v>0.72664201259613037</v>
      </c>
      <c r="D114" s="1">
        <v>0.70384472608566284</v>
      </c>
      <c r="E114" s="1">
        <v>1.2501803636550903</v>
      </c>
      <c r="F114" s="1">
        <v>1.5276192426681519</v>
      </c>
      <c r="G114" s="1">
        <v>1.6779245138168335</v>
      </c>
      <c r="H114" s="1">
        <v>1.80980384349823</v>
      </c>
      <c r="I114" s="1">
        <v>1.9216095209121704</v>
      </c>
      <c r="J114" s="1">
        <v>2.0222442150115967</v>
      </c>
      <c r="K114" s="1">
        <v>2.1169719696044922</v>
      </c>
      <c r="L114" s="1">
        <v>2.2108409404754639</v>
      </c>
      <c r="M114" s="1">
        <v>2.3038182258605957</v>
      </c>
      <c r="N114" s="1">
        <v>2.3955185413360596</v>
      </c>
      <c r="O114" s="1">
        <v>2.4881637096405029</v>
      </c>
      <c r="P114" s="1">
        <v>2.5800013542175293</v>
      </c>
      <c r="Q114" s="1">
        <v>2.6656317710876465</v>
      </c>
      <c r="R114" s="1">
        <v>2.7455587387084961</v>
      </c>
      <c r="S114" s="1">
        <v>2.8204312324523926</v>
      </c>
      <c r="T114" s="1">
        <v>2.8907461166381836</v>
      </c>
      <c r="U114" s="1">
        <v>2.9571712017059326</v>
      </c>
      <c r="V114" s="1">
        <v>3.0200901031494141</v>
      </c>
      <c r="W114" s="1">
        <v>3.0798110961914063</v>
      </c>
      <c r="X114" s="9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134</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7"/>
      <c r="F116" s="77"/>
      <c r="G116" s="77"/>
      <c r="H116" s="77"/>
      <c r="I116" s="77"/>
      <c r="J116" s="77"/>
      <c r="K116" s="77"/>
      <c r="L116" s="77"/>
      <c r="M116" s="77"/>
      <c r="N116" s="77"/>
      <c r="O116" s="77"/>
      <c r="P116" s="77"/>
      <c r="Q116" s="77"/>
      <c r="R116" s="77"/>
      <c r="S116" s="77"/>
      <c r="T116" s="77"/>
      <c r="U116" s="81"/>
      <c r="V116" s="81"/>
      <c r="W116" s="81"/>
      <c r="X116" s="9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4" t="s">
        <v>209</v>
      </c>
      <c r="C117" s="26"/>
      <c r="D117" s="26"/>
      <c r="E117" s="26"/>
      <c r="F117" s="26"/>
      <c r="G117" s="26"/>
      <c r="H117" s="26"/>
      <c r="I117" s="26"/>
      <c r="J117" s="26"/>
      <c r="K117" s="26"/>
      <c r="L117" s="26"/>
      <c r="M117" s="26"/>
      <c r="N117" s="26"/>
      <c r="O117" s="26"/>
      <c r="P117" s="26"/>
      <c r="Q117" s="26"/>
      <c r="R117" s="26"/>
      <c r="S117" s="26"/>
      <c r="T117" s="26"/>
      <c r="U117" s="26"/>
      <c r="V117" s="101"/>
      <c r="W117" s="101"/>
      <c r="X117" s="9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7" t="s">
        <v>21</v>
      </c>
      <c r="C118" s="23">
        <v>24.50383186340332</v>
      </c>
      <c r="D118" s="23">
        <v>24.733495712280273</v>
      </c>
      <c r="E118" s="23">
        <v>25.66961669921875</v>
      </c>
      <c r="F118" s="23">
        <v>27.071294784545898</v>
      </c>
      <c r="G118" s="23">
        <v>28.657413482666016</v>
      </c>
      <c r="H118" s="23">
        <v>29.541793823242188</v>
      </c>
      <c r="I118" s="23">
        <v>30.165760040283203</v>
      </c>
      <c r="J118" s="23">
        <v>30.591659545898438</v>
      </c>
      <c r="K118" s="23">
        <v>30.888895034790039</v>
      </c>
      <c r="L118" s="23">
        <v>31.05735969543457</v>
      </c>
      <c r="M118" s="23">
        <v>31.119827270507813</v>
      </c>
      <c r="N118" s="23">
        <v>31.264137268066406</v>
      </c>
      <c r="O118" s="23">
        <v>31.43104362487793</v>
      </c>
      <c r="P118" s="23">
        <v>31.613866806030273</v>
      </c>
      <c r="Q118" s="23">
        <v>31.835363388061523</v>
      </c>
      <c r="R118" s="23">
        <v>32.08038330078125</v>
      </c>
      <c r="S118" s="23">
        <v>32.327949523925781</v>
      </c>
      <c r="T118" s="23">
        <v>32.576187133789063</v>
      </c>
      <c r="U118" s="23">
        <v>32.810447692871094</v>
      </c>
      <c r="V118" s="23">
        <v>33.023963928222656</v>
      </c>
      <c r="W118" s="23">
        <v>33.259075164794922</v>
      </c>
      <c r="X118" s="93"/>
      <c r="Y118" s="47"/>
    </row>
    <row r="119" spans="1:51" x14ac:dyDescent="0.2">
      <c r="B119" s="15" t="s">
        <v>104</v>
      </c>
      <c r="C119" s="1">
        <v>0.72664201259613037</v>
      </c>
      <c r="D119" s="1">
        <v>0.70384472608566284</v>
      </c>
      <c r="E119" s="1">
        <v>1.2501803636550903</v>
      </c>
      <c r="F119" s="1">
        <v>1.5276192426681519</v>
      </c>
      <c r="G119" s="1">
        <v>1.6779245138168335</v>
      </c>
      <c r="H119" s="1">
        <v>1.8092659711837769</v>
      </c>
      <c r="I119" s="1">
        <v>1.9201067686080933</v>
      </c>
      <c r="J119" s="1">
        <v>2.0194251537322998</v>
      </c>
      <c r="K119" s="1">
        <v>2.1125538349151611</v>
      </c>
      <c r="L119" s="1">
        <v>2.2020182609558105</v>
      </c>
      <c r="M119" s="1">
        <v>2.2886483669281006</v>
      </c>
      <c r="N119" s="1">
        <v>2.3733322620391846</v>
      </c>
      <c r="O119" s="1">
        <v>2.4602770805358887</v>
      </c>
      <c r="P119" s="1">
        <v>2.5477209091186523</v>
      </c>
      <c r="Q119" s="1">
        <v>2.629925012588501</v>
      </c>
      <c r="R119" s="1">
        <v>2.7076005935668945</v>
      </c>
      <c r="S119" s="1">
        <v>2.7811689376831055</v>
      </c>
      <c r="T119" s="1">
        <v>2.8509154319763184</v>
      </c>
      <c r="U119" s="1">
        <v>2.9173681735992432</v>
      </c>
      <c r="V119" s="1">
        <v>2.9807569980621338</v>
      </c>
      <c r="W119" s="1">
        <v>3.0412516593933105</v>
      </c>
      <c r="X119" s="9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134</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3"/>
      <c r="V121" s="93"/>
      <c r="W121" s="93"/>
      <c r="X121" s="93"/>
      <c r="Y121" s="47"/>
    </row>
    <row r="122" spans="1:51" x14ac:dyDescent="0.2">
      <c r="H122" s="98"/>
      <c r="I122" s="98"/>
      <c r="J122" s="98"/>
      <c r="K122" s="98"/>
      <c r="L122" s="98"/>
      <c r="M122" s="98"/>
      <c r="N122" s="98"/>
      <c r="O122" s="98"/>
      <c r="P122" s="98"/>
      <c r="Q122" s="98"/>
      <c r="R122" s="98"/>
      <c r="S122" s="98"/>
      <c r="T122" s="98"/>
      <c r="U122" s="98"/>
      <c r="V122" s="98"/>
      <c r="W122" s="98"/>
    </row>
    <row r="123" spans="1:51" x14ac:dyDescent="0.2">
      <c r="E123" s="23"/>
      <c r="F123" s="23"/>
      <c r="G123" s="98"/>
      <c r="H123" s="98"/>
      <c r="I123" s="98"/>
      <c r="J123" s="98"/>
      <c r="K123" s="98"/>
      <c r="L123" s="98"/>
      <c r="M123" s="98"/>
      <c r="N123" s="98"/>
      <c r="O123" s="98"/>
      <c r="P123" s="98"/>
      <c r="Q123" s="98"/>
      <c r="R123" s="98"/>
      <c r="S123" s="98"/>
      <c r="T123" s="98"/>
      <c r="U123" s="98"/>
      <c r="V123" s="98"/>
      <c r="W123" s="98"/>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8"/>
      <c r="H127" s="98"/>
      <c r="I127" s="98"/>
      <c r="J127" s="98"/>
      <c r="K127" s="98"/>
      <c r="L127" s="98"/>
      <c r="M127" s="98"/>
      <c r="N127" s="98"/>
      <c r="O127" s="98"/>
      <c r="P127" s="98"/>
      <c r="Q127" s="98"/>
      <c r="R127" s="98"/>
      <c r="S127" s="98"/>
      <c r="T127" s="98"/>
      <c r="U127" s="98"/>
      <c r="V127" s="98"/>
      <c r="W127" s="98"/>
    </row>
    <row r="128" spans="1:51" x14ac:dyDescent="0.2">
      <c r="E128" s="23"/>
      <c r="F128" s="23"/>
      <c r="G128" s="98"/>
      <c r="H128" s="98"/>
      <c r="I128" s="98"/>
      <c r="J128" s="98"/>
      <c r="K128" s="98"/>
      <c r="L128" s="98"/>
      <c r="M128" s="98"/>
      <c r="N128" s="98"/>
      <c r="O128" s="98"/>
      <c r="P128" s="98"/>
      <c r="Q128" s="98"/>
      <c r="R128" s="98"/>
      <c r="S128" s="98"/>
      <c r="T128" s="98"/>
      <c r="U128" s="98"/>
      <c r="V128" s="98"/>
      <c r="W128" s="98"/>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8"/>
      <c r="H130" s="98"/>
      <c r="I130" s="98"/>
      <c r="J130" s="98"/>
      <c r="K130" s="98"/>
      <c r="L130" s="98"/>
      <c r="M130" s="98"/>
      <c r="N130" s="98"/>
      <c r="O130" s="98"/>
      <c r="P130" s="98"/>
      <c r="Q130" s="98"/>
      <c r="R130" s="98"/>
      <c r="S130" s="98"/>
      <c r="T130" s="98"/>
      <c r="U130" s="98"/>
      <c r="V130" s="98"/>
      <c r="W130" s="98"/>
      <c r="X130" s="38"/>
    </row>
    <row r="131" spans="5:24" x14ac:dyDescent="0.2">
      <c r="E131" s="23"/>
      <c r="F131" s="23"/>
      <c r="G131" s="98"/>
      <c r="H131" s="98"/>
      <c r="I131" s="98"/>
      <c r="J131" s="98"/>
      <c r="K131" s="98"/>
      <c r="L131" s="98"/>
      <c r="M131" s="98"/>
      <c r="N131" s="98"/>
      <c r="O131" s="98"/>
      <c r="P131" s="98"/>
      <c r="Q131" s="98"/>
      <c r="R131" s="98"/>
      <c r="S131" s="98"/>
      <c r="T131" s="98"/>
      <c r="U131" s="98"/>
      <c r="V131" s="98"/>
      <c r="W131" s="98"/>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8"/>
      <c r="H133" s="98"/>
      <c r="I133" s="98"/>
      <c r="J133" s="98"/>
      <c r="K133" s="98"/>
      <c r="L133" s="98"/>
      <c r="M133" s="98"/>
      <c r="N133" s="98"/>
      <c r="O133" s="98"/>
      <c r="P133" s="98"/>
      <c r="Q133" s="98"/>
      <c r="R133" s="98"/>
      <c r="S133" s="98"/>
      <c r="T133" s="98"/>
      <c r="U133" s="98"/>
      <c r="V133" s="98"/>
      <c r="W133" s="98"/>
      <c r="X133" s="98"/>
    </row>
    <row r="134" spans="5:24" x14ac:dyDescent="0.2">
      <c r="E134" s="23"/>
      <c r="F134" s="23"/>
      <c r="G134" s="98"/>
      <c r="H134" s="98"/>
      <c r="I134" s="98"/>
      <c r="J134" s="98"/>
      <c r="K134" s="98"/>
      <c r="L134" s="98"/>
      <c r="M134" s="98"/>
      <c r="N134" s="98"/>
      <c r="O134" s="98"/>
      <c r="P134" s="98"/>
      <c r="Q134" s="98"/>
      <c r="R134" s="98"/>
      <c r="S134" s="98"/>
      <c r="T134" s="98"/>
      <c r="U134" s="98"/>
      <c r="V134" s="98"/>
      <c r="W134" s="98"/>
      <c r="X134" s="98"/>
    </row>
    <row r="135" spans="5:24" x14ac:dyDescent="0.2">
      <c r="G135" s="98"/>
      <c r="H135" s="98"/>
      <c r="I135" s="98"/>
      <c r="J135" s="98"/>
      <c r="K135" s="98"/>
      <c r="L135" s="98"/>
      <c r="M135" s="98"/>
      <c r="N135" s="98"/>
      <c r="O135" s="98"/>
      <c r="P135" s="98"/>
      <c r="Q135" s="98"/>
      <c r="R135" s="98"/>
      <c r="S135" s="98"/>
      <c r="T135" s="98"/>
      <c r="U135" s="98"/>
      <c r="V135" s="98"/>
      <c r="W135" s="98"/>
      <c r="X135" s="98"/>
    </row>
    <row r="136" spans="5:24" x14ac:dyDescent="0.2">
      <c r="E136" s="23"/>
      <c r="F136" s="23"/>
      <c r="G136" s="98"/>
      <c r="H136" s="98"/>
      <c r="I136" s="98"/>
      <c r="J136" s="98"/>
      <c r="K136" s="98"/>
      <c r="L136" s="98"/>
      <c r="M136" s="98"/>
      <c r="N136" s="98"/>
      <c r="O136" s="98"/>
      <c r="P136" s="98"/>
      <c r="Q136" s="98"/>
      <c r="R136" s="98"/>
      <c r="S136" s="98"/>
      <c r="T136" s="98"/>
      <c r="U136" s="98"/>
      <c r="V136" s="98"/>
      <c r="W136" s="98"/>
      <c r="X136" s="98"/>
    </row>
    <row r="137" spans="5:24" x14ac:dyDescent="0.2">
      <c r="E137" s="23"/>
      <c r="F137" s="23"/>
      <c r="G137" s="98"/>
      <c r="H137" s="98"/>
      <c r="I137" s="98"/>
      <c r="J137" s="98"/>
      <c r="K137" s="98"/>
      <c r="L137" s="98"/>
      <c r="M137" s="98"/>
      <c r="N137" s="98"/>
      <c r="O137" s="98"/>
      <c r="P137" s="98"/>
      <c r="Q137" s="98"/>
      <c r="R137" s="98"/>
      <c r="S137" s="98"/>
      <c r="T137" s="98"/>
      <c r="U137" s="98"/>
      <c r="V137" s="98"/>
      <c r="W137" s="98"/>
      <c r="X137" s="98"/>
    </row>
    <row r="138" spans="5:24" x14ac:dyDescent="0.2">
      <c r="G138" s="98"/>
      <c r="H138" s="98"/>
      <c r="I138" s="98"/>
      <c r="J138" s="98"/>
      <c r="K138" s="98"/>
      <c r="L138" s="98"/>
      <c r="M138" s="98"/>
      <c r="N138" s="98"/>
      <c r="O138" s="98"/>
      <c r="P138" s="98"/>
      <c r="Q138" s="98"/>
      <c r="R138" s="98"/>
      <c r="S138" s="98"/>
      <c r="T138" s="98"/>
      <c r="U138" s="98"/>
      <c r="V138" s="98"/>
      <c r="W138" s="98"/>
      <c r="X138" s="98"/>
    </row>
    <row r="139" spans="5:24" x14ac:dyDescent="0.2">
      <c r="G139" s="98"/>
      <c r="H139" s="98"/>
      <c r="I139" s="98"/>
      <c r="J139" s="98"/>
      <c r="K139" s="98"/>
      <c r="L139" s="98"/>
      <c r="M139" s="98"/>
      <c r="N139" s="98"/>
      <c r="O139" s="98"/>
      <c r="P139" s="98"/>
      <c r="Q139" s="98"/>
      <c r="R139" s="98"/>
      <c r="S139" s="98"/>
      <c r="T139" s="98"/>
      <c r="U139" s="98"/>
      <c r="V139" s="98"/>
      <c r="W139" s="98"/>
      <c r="X139" s="98"/>
    </row>
  </sheetData>
  <conditionalFormatting sqref="G12:M12">
    <cfRule type="expression" dxfId="4" priority="6">
      <formula>AND(G10&gt;$C$5,G10&lt;=$C$6)</formula>
    </cfRule>
  </conditionalFormatting>
  <conditionalFormatting sqref="U10:W44 U46:W53 U86:W109 U111:W123 U126:W150 U55:W78 U80:W84">
    <cfRule type="expression" dxfId="3" priority="2">
      <formula>U$10&gt;$C$7</formula>
    </cfRule>
  </conditionalFormatting>
  <conditionalFormatting sqref="U79:W79">
    <cfRule type="expression" dxfId="2"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heetViews>
  <sheetFormatPr defaultRowHeight="12.75" x14ac:dyDescent="0.2"/>
  <cols>
    <col min="1" max="1" width="9.140625" style="265"/>
    <col min="2" max="2" width="4.5703125" style="265" customWidth="1"/>
    <col min="3" max="3" width="67" style="265" customWidth="1"/>
    <col min="4" max="4" width="16.5703125" style="265" customWidth="1"/>
    <col min="5" max="5" width="13.7109375" style="265" customWidth="1"/>
    <col min="6" max="24" width="10.7109375" style="265" customWidth="1"/>
    <col min="25" max="16384" width="9.140625" style="265"/>
  </cols>
  <sheetData>
    <row r="1" spans="1:25" x14ac:dyDescent="0.2">
      <c r="A1" s="185"/>
      <c r="B1" s="185"/>
      <c r="C1" s="185"/>
      <c r="D1" s="185"/>
      <c r="E1" s="185"/>
      <c r="F1" s="185"/>
      <c r="G1" s="185"/>
      <c r="H1" s="185"/>
      <c r="I1" s="185"/>
      <c r="J1" s="185"/>
      <c r="K1" s="185"/>
      <c r="L1" s="185"/>
      <c r="M1" s="185"/>
      <c r="N1" s="185"/>
      <c r="O1" s="185"/>
      <c r="P1" s="185"/>
      <c r="Q1" s="185"/>
      <c r="R1" s="185"/>
      <c r="S1" s="185"/>
      <c r="T1" s="185"/>
      <c r="U1" s="185"/>
      <c r="V1" s="185"/>
      <c r="W1" s="185"/>
      <c r="X1" s="185"/>
      <c r="Y1" s="185"/>
    </row>
    <row r="2" spans="1:25" x14ac:dyDescent="0.2">
      <c r="A2" s="185"/>
      <c r="B2" s="270"/>
      <c r="C2" s="271" t="s">
        <v>148</v>
      </c>
      <c r="D2" s="272"/>
      <c r="E2" s="272"/>
      <c r="F2" s="272"/>
      <c r="G2" s="288"/>
      <c r="H2" s="288"/>
      <c r="I2" s="288"/>
      <c r="J2" s="288"/>
      <c r="K2" s="185"/>
      <c r="L2" s="185"/>
      <c r="M2" s="185"/>
      <c r="N2" s="185"/>
      <c r="O2" s="185"/>
      <c r="P2" s="185"/>
      <c r="Q2" s="185"/>
      <c r="R2" s="185"/>
      <c r="S2" s="185"/>
      <c r="T2" s="185"/>
      <c r="U2" s="185"/>
      <c r="V2" s="185"/>
      <c r="W2" s="185"/>
      <c r="X2" s="185"/>
      <c r="Y2" s="185"/>
    </row>
    <row r="3" spans="1:25" x14ac:dyDescent="0.2">
      <c r="A3" s="185"/>
      <c r="B3" s="267"/>
      <c r="C3" s="288"/>
      <c r="D3" s="288"/>
      <c r="E3" s="288"/>
      <c r="F3" s="288"/>
      <c r="G3" s="288"/>
      <c r="H3" s="288"/>
      <c r="I3" s="288"/>
      <c r="J3" s="288"/>
      <c r="K3" s="185"/>
      <c r="L3" s="185"/>
      <c r="M3" s="185"/>
      <c r="N3" s="185"/>
      <c r="O3" s="185"/>
      <c r="P3" s="185"/>
      <c r="Q3" s="185"/>
      <c r="R3" s="185"/>
      <c r="S3" s="185"/>
      <c r="T3" s="185"/>
      <c r="U3" s="185"/>
      <c r="V3" s="185"/>
      <c r="W3" s="185"/>
      <c r="X3" s="185"/>
      <c r="Y3" s="185"/>
    </row>
    <row r="4" spans="1:25" x14ac:dyDescent="0.2">
      <c r="A4" s="185"/>
      <c r="B4" s="273"/>
      <c r="C4" s="271"/>
      <c r="D4" s="274" t="s">
        <v>169</v>
      </c>
      <c r="E4" s="275">
        <f>F4-1</f>
        <v>2022</v>
      </c>
      <c r="F4" s="276">
        <f>'Input data'!$C$5-1</f>
        <v>2023</v>
      </c>
      <c r="G4" s="276">
        <f>F4+1</f>
        <v>2024</v>
      </c>
      <c r="H4" s="276">
        <f t="shared" ref="H4:X4" si="0">G4+1</f>
        <v>2025</v>
      </c>
      <c r="I4" s="276">
        <f t="shared" si="0"/>
        <v>2026</v>
      </c>
      <c r="J4" s="276">
        <f t="shared" si="0"/>
        <v>2027</v>
      </c>
      <c r="K4" s="276">
        <f t="shared" si="0"/>
        <v>2028</v>
      </c>
      <c r="L4" s="276">
        <f t="shared" si="0"/>
        <v>2029</v>
      </c>
      <c r="M4" s="276">
        <f t="shared" si="0"/>
        <v>2030</v>
      </c>
      <c r="N4" s="276">
        <f t="shared" si="0"/>
        <v>2031</v>
      </c>
      <c r="O4" s="276">
        <f t="shared" si="0"/>
        <v>2032</v>
      </c>
      <c r="P4" s="276">
        <f t="shared" si="0"/>
        <v>2033</v>
      </c>
      <c r="Q4" s="276">
        <f t="shared" si="0"/>
        <v>2034</v>
      </c>
      <c r="R4" s="276">
        <f t="shared" si="0"/>
        <v>2035</v>
      </c>
      <c r="S4" s="276">
        <f t="shared" si="0"/>
        <v>2036</v>
      </c>
      <c r="T4" s="276">
        <f t="shared" si="0"/>
        <v>2037</v>
      </c>
      <c r="U4" s="276">
        <f t="shared" si="0"/>
        <v>2038</v>
      </c>
      <c r="V4" s="276">
        <f t="shared" si="0"/>
        <v>2039</v>
      </c>
      <c r="W4" s="276">
        <f t="shared" si="0"/>
        <v>2040</v>
      </c>
      <c r="X4" s="276">
        <f t="shared" si="0"/>
        <v>2041</v>
      </c>
      <c r="Y4" s="185"/>
    </row>
    <row r="5" spans="1:25" x14ac:dyDescent="0.2">
      <c r="A5" s="185"/>
      <c r="B5" s="273">
        <v>1</v>
      </c>
      <c r="C5" s="277" t="s">
        <v>149</v>
      </c>
      <c r="D5" s="278">
        <v>57</v>
      </c>
      <c r="E5" s="279" t="s">
        <v>150</v>
      </c>
      <c r="F5" s="266">
        <f ca="1">INDEX(OFFSET('Adjustment scenario'!$D$1:$W$1,$D5-1,0),MATCH(F$4,'Adjustment scenario'!$D$10:$W$10,0))</f>
        <v>25.669613830669952</v>
      </c>
      <c r="G5" s="266">
        <f ca="1">INDEX(OFFSET('Adjustment scenario'!$D$1:$W$1,$D5-1,0),MATCH(G$4,'Adjustment scenario'!$D$10:$W$10,0))</f>
        <v>27.071291453606207</v>
      </c>
      <c r="H5" s="266">
        <f ca="1">INDEX(OFFSET('Adjustment scenario'!$D$1:$W$1,$D5-1,0),MATCH(H$4,'Adjustment scenario'!$D$10:$W$10,0))</f>
        <v>28.628811353557538</v>
      </c>
      <c r="I5" s="266">
        <f ca="1">INDEX(OFFSET('Adjustment scenario'!$D$1:$W$1,$D5-1,0),MATCH(I$4,'Adjustment scenario'!$D$10:$W$10,0))</f>
        <v>29.434736131451967</v>
      </c>
      <c r="J5" s="266">
        <f ca="1">INDEX(OFFSET('Adjustment scenario'!$D$1:$W$1,$D5-1,0),MATCH(J$4,'Adjustment scenario'!$D$10:$W$10,0))</f>
        <v>29.446188536480143</v>
      </c>
      <c r="K5" s="266">
        <f ca="1">INDEX(OFFSET('Adjustment scenario'!$D$1:$W$1,$D5-1,0),MATCH(K$4,'Adjustment scenario'!$D$10:$W$10,0))</f>
        <v>29.242245472814364</v>
      </c>
      <c r="L5" s="266">
        <f ca="1">INDEX(OFFSET('Adjustment scenario'!$D$1:$W$1,$D5-1,0),MATCH(L$4,'Adjustment scenario'!$D$10:$W$10,0))</f>
        <v>29.283214683409046</v>
      </c>
      <c r="M5" s="266">
        <f ca="1">INDEX(OFFSET('Adjustment scenario'!$D$1:$W$1,$D5-1,0),MATCH(M$4,'Adjustment scenario'!$D$10:$W$10,0))</f>
        <v>29.385673711227003</v>
      </c>
      <c r="N5" s="266">
        <f ca="1">INDEX(OFFSET('Adjustment scenario'!$D$1:$W$1,$D5-1,0),MATCH(N$4,'Adjustment scenario'!$D$10:$W$10,0))</f>
        <v>29.551479679620723</v>
      </c>
      <c r="O5" s="266">
        <f ca="1">INDEX(OFFSET('Adjustment scenario'!$D$1:$W$1,$D5-1,0),MATCH(O$4,'Adjustment scenario'!$D$10:$W$10,0))</f>
        <v>29.789676192438083</v>
      </c>
      <c r="P5" s="266">
        <f ca="1">INDEX(OFFSET('Adjustment scenario'!$D$1:$W$1,$D5-1,0),MATCH(P$4,'Adjustment scenario'!$D$10:$W$10,0))</f>
        <v>30.069320820586011</v>
      </c>
      <c r="Q5" s="266">
        <f ca="1">INDEX(OFFSET('Adjustment scenario'!$D$1:$W$1,$D5-1,0),MATCH(Q$4,'Adjustment scenario'!$D$10:$W$10,0))</f>
        <v>30.383810480391688</v>
      </c>
      <c r="R5" s="266">
        <f ca="1">INDEX(OFFSET('Adjustment scenario'!$D$1:$W$1,$D5-1,0),MATCH(R$4,'Adjustment scenario'!$D$10:$W$10,0))</f>
        <v>30.722119367867833</v>
      </c>
      <c r="S5" s="266">
        <f ca="1">INDEX(OFFSET('Adjustment scenario'!$D$1:$W$1,$D5-1,0),MATCH(S$4,'Adjustment scenario'!$D$10:$W$10,0))</f>
        <v>31.082754023138385</v>
      </c>
      <c r="T5" s="266">
        <f ca="1">INDEX(OFFSET('Adjustment scenario'!$D$1:$W$1,$D5-1,0),MATCH(T$4,'Adjustment scenario'!$D$10:$W$10,0))</f>
        <v>31.445144526745747</v>
      </c>
      <c r="U5" s="266">
        <f ca="1">INDEX(OFFSET('Adjustment scenario'!$D$1:$W$1,$D5-1,0),MATCH(U$4,'Adjustment scenario'!$D$10:$W$10,0))</f>
        <v>31.807566807367863</v>
      </c>
      <c r="V5" s="266">
        <f ca="1">INDEX(OFFSET('Adjustment scenario'!$D$1:$W$1,$D5-1,0),MATCH(V$4,'Adjustment scenario'!$D$10:$W$10,0))</f>
        <v>32.155375202813921</v>
      </c>
      <c r="W5" s="266">
        <f ca="1">INDEX(OFFSET('Adjustment scenario'!$D$1:$W$1,$D5-1,0),MATCH(W$4,'Adjustment scenario'!$D$10:$W$10,0))</f>
        <v>32.481528507307431</v>
      </c>
      <c r="X5" s="266">
        <f ca="1">INDEX(OFFSET('Adjustment scenario'!$D$1:$W$1,$D5-1,0),MATCH(X$4,'Adjustment scenario'!$D$10:$W$10,0))</f>
        <v>32.827445009787084</v>
      </c>
      <c r="Y5" s="185"/>
    </row>
    <row r="6" spans="1:25" x14ac:dyDescent="0.2">
      <c r="A6" s="185"/>
      <c r="B6" s="273">
        <v>2</v>
      </c>
      <c r="C6" s="277" t="s">
        <v>151</v>
      </c>
      <c r="D6" s="278">
        <v>77</v>
      </c>
      <c r="E6" s="279" t="s">
        <v>150</v>
      </c>
      <c r="F6" s="266">
        <f ca="1">INDEX(OFFSET('Adjustment scenario'!$D$1:$W$1,$D6-1,0),MATCH(F$4,'Adjustment scenario'!$D$10:$W$10,0))</f>
        <v>-1.251991028277976</v>
      </c>
      <c r="G6" s="266">
        <f ca="1">INDEX(OFFSET('Adjustment scenario'!$D$1:$W$1,$D6-1,0),MATCH(G$4,'Adjustment scenario'!$D$10:$W$10,0))</f>
        <v>-1.6989409359348564</v>
      </c>
      <c r="H6" s="266">
        <f ca="1">INDEX(OFFSET('Adjustment scenario'!$D$1:$W$1,$D6-1,0),MATCH(H$4,'Adjustment scenario'!$D$10:$W$10,0))</f>
        <v>-1.6746365729548063</v>
      </c>
      <c r="I6" s="266">
        <f ca="1">INDEX(OFFSET('Adjustment scenario'!$D$1:$W$1,$D6-1,0),MATCH(I$4,'Adjustment scenario'!$D$10:$W$10,0))</f>
        <v>-1.284940769026734</v>
      </c>
      <c r="J6" s="266">
        <f ca="1">INDEX(OFFSET('Adjustment scenario'!$D$1:$W$1,$D6-1,0),MATCH(J$4,'Adjustment scenario'!$D$10:$W$10,0))</f>
        <v>-0.73233768093744733</v>
      </c>
      <c r="K6" s="266">
        <f ca="1">INDEX(OFFSET('Adjustment scenario'!$D$1:$W$1,$D6-1,0),MATCH(K$4,'Adjustment scenario'!$D$10:$W$10,0))</f>
        <v>-0.4623988939046576</v>
      </c>
      <c r="L6" s="266">
        <f ca="1">INDEX(OFFSET('Adjustment scenario'!$D$1:$W$1,$D6-1,0),MATCH(L$4,'Adjustment scenario'!$D$10:$W$10,0))</f>
        <v>-0.63037829290354808</v>
      </c>
      <c r="M6" s="266">
        <f ca="1">INDEX(OFFSET('Adjustment scenario'!$D$1:$W$1,$D6-1,0),MATCH(M$4,'Adjustment scenario'!$D$10:$W$10,0))</f>
        <v>-0.84142539999052479</v>
      </c>
      <c r="N6" s="266">
        <f ca="1">INDEX(OFFSET('Adjustment scenario'!$D$1:$W$1,$D6-1,0),MATCH(N$4,'Adjustment scenario'!$D$10:$W$10,0))</f>
        <v>-1.0578668032226188</v>
      </c>
      <c r="O6" s="266">
        <f ca="1">INDEX(OFFSET('Adjustment scenario'!$D$1:$W$1,$D6-1,0),MATCH(O$4,'Adjustment scenario'!$D$10:$W$10,0))</f>
        <v>-1.2870042893599658</v>
      </c>
      <c r="P6" s="266">
        <f ca="1">INDEX(OFFSET('Adjustment scenario'!$D$1:$W$1,$D6-1,0),MATCH(P$4,'Adjustment scenario'!$D$10:$W$10,0))</f>
        <v>-1.5139567025868201</v>
      </c>
      <c r="Q6" s="266">
        <f ca="1">INDEX(OFFSET('Adjustment scenario'!$D$1:$W$1,$D6-1,0),MATCH(Q$4,'Adjustment scenario'!$D$10:$W$10,0))</f>
        <v>-1.7439307964116333</v>
      </c>
      <c r="R6" s="266">
        <f ca="1">INDEX(OFFSET('Adjustment scenario'!$D$1:$W$1,$D6-1,0),MATCH(R$4,'Adjustment scenario'!$D$10:$W$10,0))</f>
        <v>-1.9516719893140924</v>
      </c>
      <c r="S6" s="266">
        <f ca="1">INDEX(OFFSET('Adjustment scenario'!$D$1:$W$1,$D6-1,0),MATCH(S$4,'Adjustment scenario'!$D$10:$W$10,0))</f>
        <v>-2.1511824141378186</v>
      </c>
      <c r="T6" s="266">
        <f ca="1">INDEX(OFFSET('Adjustment scenario'!$D$1:$W$1,$D6-1,0),MATCH(T$4,'Adjustment scenario'!$D$10:$W$10,0))</f>
        <v>-2.3502014188425147</v>
      </c>
      <c r="U6" s="266">
        <f ca="1">INDEX(OFFSET('Adjustment scenario'!$D$1:$W$1,$D6-1,0),MATCH(U$4,'Adjustment scenario'!$D$10:$W$10,0))</f>
        <v>-2.5456860124901377</v>
      </c>
      <c r="V6" s="266">
        <f ca="1">INDEX(OFFSET('Adjustment scenario'!$D$1:$W$1,$D6-1,0),MATCH(V$4,'Adjustment scenario'!$D$10:$W$10,0))</f>
        <v>-2.7293782974233465</v>
      </c>
      <c r="W6" s="266">
        <f ca="1">INDEX(OFFSET('Adjustment scenario'!$D$1:$W$1,$D6-1,0),MATCH(W$4,'Adjustment scenario'!$D$10:$W$10,0))</f>
        <v>-2.9034835561847303</v>
      </c>
      <c r="X6" s="266">
        <f ca="1">INDEX(OFFSET('Adjustment scenario'!$D$1:$W$1,$D6-1,0),MATCH(X$4,'Adjustment scenario'!$D$10:$W$10,0))</f>
        <v>-3.0882531305750831</v>
      </c>
      <c r="Y6" s="185"/>
    </row>
    <row r="7" spans="1:25" x14ac:dyDescent="0.2">
      <c r="A7" s="185"/>
      <c r="B7" s="273">
        <v>3</v>
      </c>
      <c r="C7" s="277" t="s">
        <v>18</v>
      </c>
      <c r="D7" s="278">
        <v>12</v>
      </c>
      <c r="E7" s="279" t="s">
        <v>152</v>
      </c>
      <c r="F7" s="266">
        <f ca="1">INDEX(OFFSET('Adjustment scenario'!$D$1:$W$1,$D7-1,0),MATCH(F$4,'Adjustment scenario'!$D$10:$W$10,0))</f>
        <v>0.28953679999999998</v>
      </c>
      <c r="G7" s="266">
        <f ca="1">INDEX(OFFSET('Adjustment scenario'!$D$1:$W$1,$D7-1,0),MATCH(G$4,'Adjustment scenario'!$D$10:$W$10,0))</f>
        <v>9.7703100000000001E-2</v>
      </c>
      <c r="H7" s="266">
        <f ca="1">INDEX(OFFSET('Adjustment scenario'!$D$1:$W$1,$D7-1,0),MATCH(H$4,'Adjustment scenario'!$D$10:$W$10,0))</f>
        <v>9.7703100000000001E-2</v>
      </c>
      <c r="I7" s="266">
        <f ca="1">INDEX(OFFSET('Adjustment scenario'!$D$1:$W$1,$D7-1,0),MATCH(I$4,'Adjustment scenario'!$D$10:$W$10,0))</f>
        <v>9.7703100000000001E-2</v>
      </c>
      <c r="J7" s="266">
        <f ca="1">INDEX(OFFSET('Adjustment scenario'!$D$1:$W$1,$D7-1,0),MATCH(J$4,'Adjustment scenario'!$D$10:$W$10,0))</f>
        <v>9.7703100000000001E-2</v>
      </c>
      <c r="K7" s="266">
        <f ca="1">INDEX(OFFSET('Adjustment scenario'!$D$1:$W$1,$D7-1,0),MATCH(K$4,'Adjustment scenario'!$D$10:$W$10,0))</f>
        <v>9.7703100000000001E-2</v>
      </c>
      <c r="L7" s="266">
        <f ca="1">INDEX(OFFSET('Adjustment scenario'!$D$1:$W$1,$D7-1,0),MATCH(L$4,'Adjustment scenario'!$D$10:$W$10,0))</f>
        <v>9.7703100000000001E-2</v>
      </c>
      <c r="M7" s="266">
        <f ca="1">INDEX(OFFSET('Adjustment scenario'!$D$1:$W$1,$D7-1,0),MATCH(M$4,'Adjustment scenario'!$D$10:$W$10,0))</f>
        <v>9.7703100000000001E-2</v>
      </c>
      <c r="N7" s="266">
        <f ca="1">INDEX(OFFSET('Adjustment scenario'!$D$1:$W$1,$D7-1,0),MATCH(N$4,'Adjustment scenario'!$D$10:$W$10,0))</f>
        <v>9.7703100000000001E-2</v>
      </c>
      <c r="O7" s="266">
        <f ca="1">INDEX(OFFSET('Adjustment scenario'!$D$1:$W$1,$D7-1,0),MATCH(O$4,'Adjustment scenario'!$D$10:$W$10,0))</f>
        <v>9.7703100000000001E-2</v>
      </c>
      <c r="P7" s="266">
        <f ca="1">INDEX(OFFSET('Adjustment scenario'!$D$1:$W$1,$D7-1,0),MATCH(P$4,'Adjustment scenario'!$D$10:$W$10,0))</f>
        <v>9.7703100000000001E-2</v>
      </c>
      <c r="Q7" s="266">
        <f ca="1">INDEX(OFFSET('Adjustment scenario'!$D$1:$W$1,$D7-1,0),MATCH(Q$4,'Adjustment scenario'!$D$10:$W$10,0))</f>
        <v>9.7703100000000001E-2</v>
      </c>
      <c r="R7" s="266">
        <f ca="1">INDEX(OFFSET('Adjustment scenario'!$D$1:$W$1,$D7-1,0),MATCH(R$4,'Adjustment scenario'!$D$10:$W$10,0))</f>
        <v>9.7703100000000001E-2</v>
      </c>
      <c r="S7" s="266">
        <f ca="1">INDEX(OFFSET('Adjustment scenario'!$D$1:$W$1,$D7-1,0),MATCH(S$4,'Adjustment scenario'!$D$10:$W$10,0))</f>
        <v>9.7703100000000001E-2</v>
      </c>
      <c r="T7" s="266">
        <f ca="1">INDEX(OFFSET('Adjustment scenario'!$D$1:$W$1,$D7-1,0),MATCH(T$4,'Adjustment scenario'!$D$10:$W$10,0))</f>
        <v>9.7703100000000001E-2</v>
      </c>
      <c r="U7" s="266">
        <f ca="1">INDEX(OFFSET('Adjustment scenario'!$D$1:$W$1,$D7-1,0),MATCH(U$4,'Adjustment scenario'!$D$10:$W$10,0))</f>
        <v>9.7703100000000001E-2</v>
      </c>
      <c r="V7" s="266">
        <f ca="1">INDEX(OFFSET('Adjustment scenario'!$D$1:$W$1,$D7-1,0),MATCH(V$4,'Adjustment scenario'!$D$10:$W$10,0))</f>
        <v>9.7703100000000001E-2</v>
      </c>
      <c r="W7" s="266">
        <f ca="1">INDEX(OFFSET('Adjustment scenario'!$D$1:$W$1,$D7-1,0),MATCH(W$4,'Adjustment scenario'!$D$10:$W$10,0))</f>
        <v>9.7703100000000001E-2</v>
      </c>
      <c r="X7" s="266">
        <f ca="1">INDEX(OFFSET('Adjustment scenario'!$D$1:$W$1,$D7-1,0),MATCH(X$4,'Adjustment scenario'!$D$10:$W$10,0))</f>
        <v>9.7703100000000001E-2</v>
      </c>
      <c r="Y7" s="185"/>
    </row>
    <row r="8" spans="1:25" x14ac:dyDescent="0.2">
      <c r="A8" s="185"/>
      <c r="B8" s="273">
        <v>4</v>
      </c>
      <c r="C8" s="277" t="s">
        <v>153</v>
      </c>
      <c r="D8" s="278">
        <v>62</v>
      </c>
      <c r="E8" s="279" t="s">
        <v>152</v>
      </c>
      <c r="F8" s="266">
        <f ca="1">INDEX(OFFSET('Adjustment scenario'!$D$1:$W$1,$D8-1,0),MATCH(F$4,'Adjustment scenario'!$D$10:$W$10,0))</f>
        <v>1.2392569729978491</v>
      </c>
      <c r="G8" s="266">
        <f ca="1">INDEX(OFFSET('Adjustment scenario'!$D$1:$W$1,$D8-1,0),MATCH(G$4,'Adjustment scenario'!$D$10:$W$10,0))</f>
        <v>1.424887922936255</v>
      </c>
      <c r="H8" s="266">
        <f ca="1">INDEX(OFFSET('Adjustment scenario'!$D$1:$W$1,$D8-1,0),MATCH(H$4,'Adjustment scenario'!$D$10:$W$10,0))</f>
        <v>1.3379586999513335</v>
      </c>
      <c r="I8" s="266">
        <f ca="1">INDEX(OFFSET('Adjustment scenario'!$D$1:$W$1,$D8-1,0),MATCH(I$4,'Adjustment scenario'!$D$10:$W$10,0))</f>
        <v>0.89197604701359012</v>
      </c>
      <c r="J8" s="266">
        <f ca="1">INDEX(OFFSET('Adjustment scenario'!$D$1:$W$1,$D8-1,0),MATCH(J$4,'Adjustment scenario'!$D$10:$W$10,0))</f>
        <v>0.29732456659229989</v>
      </c>
      <c r="K8" s="266">
        <f ca="1">INDEX(OFFSET('Adjustment scenario'!$D$1:$W$1,$D8-1,0),MATCH(K$4,'Adjustment scenario'!$D$10:$W$10,0))</f>
        <v>-9.9120403245223083E-7</v>
      </c>
      <c r="L8" s="266">
        <f ca="1">INDEX(OFFSET('Adjustment scenario'!$D$1:$W$1,$D8-1,0),MATCH(L$4,'Adjustment scenario'!$D$10:$W$10,0))</f>
        <v>1.2764345785010179E-6</v>
      </c>
      <c r="M8" s="266">
        <f ca="1">INDEX(OFFSET('Adjustment scenario'!$D$1:$W$1,$D8-1,0),MATCH(M$4,'Adjustment scenario'!$D$10:$W$10,0))</f>
        <v>1.7302326696055915E-6</v>
      </c>
      <c r="N8" s="266">
        <f ca="1">INDEX(OFFSET('Adjustment scenario'!$D$1:$W$1,$D8-1,0),MATCH(N$4,'Adjustment scenario'!$D$10:$W$10,0))</f>
        <v>3.092609641908162E-6</v>
      </c>
      <c r="O8" s="266">
        <f ca="1">INDEX(OFFSET('Adjustment scenario'!$D$1:$W$1,$D8-1,0),MATCH(O$4,'Adjustment scenario'!$D$10:$W$10,0))</f>
        <v>2.638150649469928E-6</v>
      </c>
      <c r="P8" s="266">
        <f ca="1">INDEX(OFFSET('Adjustment scenario'!$D$1:$W$1,$D8-1,0),MATCH(P$4,'Adjustment scenario'!$D$10:$W$10,0))</f>
        <v>1.7292017455927678E-6</v>
      </c>
      <c r="Q8" s="266">
        <f ca="1">INDEX(OFFSET('Adjustment scenario'!$D$1:$W$1,$D8-1,0),MATCH(Q$4,'Adjustment scenario'!$D$10:$W$10,0))</f>
        <v>2.1834771013251596E-6</v>
      </c>
      <c r="R8" s="266">
        <f ca="1">INDEX(OFFSET('Adjustment scenario'!$D$1:$W$1,$D8-1,0),MATCH(R$4,'Adjustment scenario'!$D$10:$W$10,0))</f>
        <v>3.0916299435190809E-6</v>
      </c>
      <c r="S8" s="266">
        <f ca="1">INDEX(OFFSET('Adjustment scenario'!$D$1:$W$1,$D8-1,0),MATCH(S$4,'Adjustment scenario'!$D$10:$W$10,0))</f>
        <v>2.6377523031806406E-6</v>
      </c>
      <c r="T8" s="266">
        <f ca="1">INDEX(OFFSET('Adjustment scenario'!$D$1:$W$1,$D8-1,0),MATCH(T$4,'Adjustment scenario'!$D$10:$W$10,0))</f>
        <v>3.9982328348786565E-6</v>
      </c>
      <c r="U8" s="266">
        <f ca="1">INDEX(OFFSET('Adjustment scenario'!$D$1:$W$1,$D8-1,0),MATCH(U$4,'Adjustment scenario'!$D$10:$W$10,0))</f>
        <v>4.9041906383218146E-6</v>
      </c>
      <c r="V8" s="266">
        <f ca="1">INDEX(OFFSET('Adjustment scenario'!$D$1:$W$1,$D8-1,0),MATCH(V$4,'Adjustment scenario'!$D$10:$W$10,0))</f>
        <v>4.4518204428856125E-6</v>
      </c>
      <c r="W8" s="266">
        <f ca="1">INDEX(OFFSET('Adjustment scenario'!$D$1:$W$1,$D8-1,0),MATCH(W$4,'Adjustment scenario'!$D$10:$W$10,0))</f>
        <v>2.6444708461026424E-6</v>
      </c>
      <c r="X8" s="266">
        <f ca="1">INDEX(OFFSET('Adjustment scenario'!$D$1:$W$1,$D8-1,0),MATCH(X$4,'Adjustment scenario'!$D$10:$W$10,0))</f>
        <v>1.7405961205696485E-6</v>
      </c>
      <c r="Y8" s="185"/>
    </row>
    <row r="9" spans="1:25" x14ac:dyDescent="0.2">
      <c r="A9" s="185"/>
      <c r="B9" s="273">
        <v>5</v>
      </c>
      <c r="C9" s="277" t="s">
        <v>154</v>
      </c>
      <c r="D9" s="278">
        <v>14</v>
      </c>
      <c r="E9" s="279" t="s">
        <v>150</v>
      </c>
      <c r="F9" s="266">
        <f ca="1">INDEX(OFFSET('Adjustment scenario'!$D$1:$W$1,$D9-1,0),MATCH(F$4,'Adjustment scenario'!$D$10:$W$10,0))</f>
        <v>0</v>
      </c>
      <c r="G9" s="266">
        <f ca="1">INDEX(OFFSET('Adjustment scenario'!$D$1:$W$1,$D9-1,0),MATCH(G$4,'Adjustment scenario'!$D$10:$W$10,0))</f>
        <v>0</v>
      </c>
      <c r="H9" s="266">
        <f ca="1">INDEX(OFFSET('Adjustment scenario'!$D$1:$W$1,$D9-1,0),MATCH(H$4,'Adjustment scenario'!$D$10:$W$10,0))</f>
        <v>0</v>
      </c>
      <c r="I9" s="266">
        <f ca="1">INDEX(OFFSET('Adjustment scenario'!$D$1:$W$1,$D9-1,0),MATCH(I$4,'Adjustment scenario'!$D$10:$W$10,0))</f>
        <v>0</v>
      </c>
      <c r="J9" s="266">
        <f ca="1">INDEX(OFFSET('Adjustment scenario'!$D$1:$W$1,$D9-1,0),MATCH(J$4,'Adjustment scenario'!$D$10:$W$10,0))</f>
        <v>0</v>
      </c>
      <c r="K9" s="266">
        <f ca="1">INDEX(OFFSET('Adjustment scenario'!$D$1:$W$1,$D9-1,0),MATCH(K$4,'Adjustment scenario'!$D$10:$W$10,0))</f>
        <v>0</v>
      </c>
      <c r="L9" s="266">
        <f ca="1">INDEX(OFFSET('Adjustment scenario'!$D$1:$W$1,$D9-1,0),MATCH(L$4,'Adjustment scenario'!$D$10:$W$10,0))</f>
        <v>0</v>
      </c>
      <c r="M9" s="266">
        <f ca="1">INDEX(OFFSET('Adjustment scenario'!$D$1:$W$1,$D9-1,0),MATCH(M$4,'Adjustment scenario'!$D$10:$W$10,0))</f>
        <v>0</v>
      </c>
      <c r="N9" s="266">
        <f ca="1">INDEX(OFFSET('Adjustment scenario'!$D$1:$W$1,$D9-1,0),MATCH(N$4,'Adjustment scenario'!$D$10:$W$10,0))</f>
        <v>0</v>
      </c>
      <c r="O9" s="266">
        <f ca="1">INDEX(OFFSET('Adjustment scenario'!$D$1:$W$1,$D9-1,0),MATCH(O$4,'Adjustment scenario'!$D$10:$W$10,0))</f>
        <v>0</v>
      </c>
      <c r="P9" s="266">
        <f ca="1">INDEX(OFFSET('Adjustment scenario'!$D$1:$W$1,$D9-1,0),MATCH(P$4,'Adjustment scenario'!$D$10:$W$10,0))</f>
        <v>0</v>
      </c>
      <c r="Q9" s="266">
        <f ca="1">INDEX(OFFSET('Adjustment scenario'!$D$1:$W$1,$D9-1,0),MATCH(Q$4,'Adjustment scenario'!$D$10:$W$10,0))</f>
        <v>0</v>
      </c>
      <c r="R9" s="266">
        <f ca="1">INDEX(OFFSET('Adjustment scenario'!$D$1:$W$1,$D9-1,0),MATCH(R$4,'Adjustment scenario'!$D$10:$W$10,0))</f>
        <v>0</v>
      </c>
      <c r="S9" s="266">
        <f ca="1">INDEX(OFFSET('Adjustment scenario'!$D$1:$W$1,$D9-1,0),MATCH(S$4,'Adjustment scenario'!$D$10:$W$10,0))</f>
        <v>0</v>
      </c>
      <c r="T9" s="266">
        <f ca="1">INDEX(OFFSET('Adjustment scenario'!$D$1:$W$1,$D9-1,0),MATCH(T$4,'Adjustment scenario'!$D$10:$W$10,0))</f>
        <v>0</v>
      </c>
      <c r="U9" s="266">
        <f ca="1">INDEX(OFFSET('Adjustment scenario'!$D$1:$W$1,$D9-1,0),MATCH(U$4,'Adjustment scenario'!$D$10:$W$10,0))</f>
        <v>0</v>
      </c>
      <c r="V9" s="266">
        <f ca="1">INDEX(OFFSET('Adjustment scenario'!$D$1:$W$1,$D9-1,0),MATCH(V$4,'Adjustment scenario'!$D$10:$W$10,0))</f>
        <v>0</v>
      </c>
      <c r="W9" s="266">
        <f ca="1">INDEX(OFFSET('Adjustment scenario'!$D$1:$W$1,$D9-1,0),MATCH(W$4,'Adjustment scenario'!$D$10:$W$10,0))</f>
        <v>0</v>
      </c>
      <c r="X9" s="266">
        <f ca="1">INDEX(OFFSET('Adjustment scenario'!$D$1:$W$1,$D9-1,0),MATCH(X$4,'Adjustment scenario'!$D$10:$W$10,0))</f>
        <v>0</v>
      </c>
      <c r="Y9" s="185"/>
    </row>
    <row r="10" spans="1:25" x14ac:dyDescent="0.2">
      <c r="A10" s="185"/>
      <c r="B10" s="273">
        <v>6</v>
      </c>
      <c r="C10" s="277" t="s">
        <v>155</v>
      </c>
      <c r="D10" s="278">
        <v>68</v>
      </c>
      <c r="E10" s="279" t="s">
        <v>150</v>
      </c>
      <c r="F10" s="266">
        <f ca="1">INDEX(OFFSET('Adjustment scenario'!$D$1:$W$1,$D10-1,0),MATCH(F$4,'Adjustment scenario'!$D$10:$W$10,0))</f>
        <v>0.30227085528012698</v>
      </c>
      <c r="G10" s="266">
        <f ca="1">INDEX(OFFSET('Adjustment scenario'!$D$1:$W$1,$D10-1,0),MATCH(G$4,'Adjustment scenario'!$D$10:$W$10,0))</f>
        <v>0.37175611299860128</v>
      </c>
      <c r="H10" s="266">
        <f ca="1">INDEX(OFFSET('Adjustment scenario'!$D$1:$W$1,$D10-1,0),MATCH(H$4,'Adjustment scenario'!$D$10:$W$10,0))</f>
        <v>0.43438097300347256</v>
      </c>
      <c r="I10" s="266">
        <f ca="1">INDEX(OFFSET('Adjustment scenario'!$D$1:$W$1,$D10-1,0),MATCH(I$4,'Adjustment scenario'!$D$10:$W$10,0))</f>
        <v>0.49066782201314391</v>
      </c>
      <c r="J10" s="266">
        <f ca="1">INDEX(OFFSET('Adjustment scenario'!$D$1:$W$1,$D10-1,0),MATCH(J$4,'Adjustment scenario'!$D$10:$W$10,0))</f>
        <v>0.53271621434514749</v>
      </c>
      <c r="K10" s="266">
        <f ca="1">INDEX(OFFSET('Adjustment scenario'!$D$1:$W$1,$D10-1,0),MATCH(K$4,'Adjustment scenario'!$D$10:$W$10,0))</f>
        <v>0.56010298510869005</v>
      </c>
      <c r="L10" s="266">
        <f ca="1">INDEX(OFFSET('Adjustment scenario'!$D$1:$W$1,$D10-1,0),MATCH(L$4,'Adjustment scenario'!$D$10:$W$10,0))</f>
        <v>0.58165511646897172</v>
      </c>
      <c r="M10" s="266">
        <f ca="1">INDEX(OFFSET('Adjustment scenario'!$D$1:$W$1,$D10-1,0),MATCH(M$4,'Adjustment scenario'!$D$10:$W$10,0))</f>
        <v>0.60591776975785638</v>
      </c>
      <c r="N10" s="266">
        <f ca="1">INDEX(OFFSET('Adjustment scenario'!$D$1:$W$1,$D10-1,0),MATCH(N$4,'Adjustment scenario'!$D$10:$W$10,0))</f>
        <v>0.63302381061297575</v>
      </c>
      <c r="O10" s="266">
        <f ca="1">INDEX(OFFSET('Adjustment scenario'!$D$1:$W$1,$D10-1,0),MATCH(O$4,'Adjustment scenario'!$D$10:$W$10,0))</f>
        <v>0.66273675120931497</v>
      </c>
      <c r="P10" s="266">
        <f ca="1">INDEX(OFFSET('Adjustment scenario'!$D$1:$W$1,$D10-1,0),MATCH(P$4,'Adjustment scenario'!$D$10:$W$10,0))</f>
        <v>0.69465607338507684</v>
      </c>
      <c r="Q10" s="266">
        <f ca="1">INDEX(OFFSET('Adjustment scenario'!$D$1:$W$1,$D10-1,0),MATCH(Q$4,'Adjustment scenario'!$D$10:$W$10,0))</f>
        <v>0.727975712934532</v>
      </c>
      <c r="R10" s="266">
        <f ca="1">INDEX(OFFSET('Adjustment scenario'!$D$1:$W$1,$D10-1,0),MATCH(R$4,'Adjustment scenario'!$D$10:$W$10,0))</f>
        <v>0.76100099768415097</v>
      </c>
      <c r="S10" s="266">
        <f ca="1">INDEX(OFFSET('Adjustment scenario'!$D$1:$W$1,$D10-1,0),MATCH(S$4,'Adjustment scenario'!$D$10:$W$10,0))</f>
        <v>0.79357787638551303</v>
      </c>
      <c r="T10" s="266">
        <f ca="1">INDEX(OFFSET('Adjustment scenario'!$D$1:$W$1,$D10-1,0),MATCH(T$4,'Adjustment scenario'!$D$10:$W$10,0))</f>
        <v>0.82549152060968245</v>
      </c>
      <c r="U10" s="266">
        <f ca="1">INDEX(OFFSET('Adjustment scenario'!$D$1:$W$1,$D10-1,0),MATCH(U$4,'Adjustment scenario'!$D$10:$W$10,0))</f>
        <v>0.85636020829949844</v>
      </c>
      <c r="V10" s="266">
        <f ca="1">INDEX(OFFSET('Adjustment scenario'!$D$1:$W$1,$D10-1,0),MATCH(V$4,'Adjustment scenario'!$D$10:$W$10,0))</f>
        <v>0.88632894560290221</v>
      </c>
      <c r="W10" s="266">
        <f ca="1">INDEX(OFFSET('Adjustment scenario'!$D$1:$W$1,$D10-1,0),MATCH(W$4,'Adjustment scenario'!$D$10:$W$10,0))</f>
        <v>0.9153620117138852</v>
      </c>
      <c r="X10" s="266">
        <f ca="1">INDEX(OFFSET('Adjustment scenario'!$D$1:$W$1,$D10-1,0),MATCH(X$4,'Adjustment scenario'!$D$10:$W$10,0))</f>
        <v>0.94444748997896233</v>
      </c>
      <c r="Y10" s="185"/>
    </row>
    <row r="11" spans="1:25" x14ac:dyDescent="0.2">
      <c r="A11" s="185"/>
      <c r="B11" s="273">
        <v>7</v>
      </c>
      <c r="C11" s="280" t="s">
        <v>66</v>
      </c>
      <c r="D11" s="278">
        <v>37</v>
      </c>
      <c r="E11" s="279" t="s">
        <v>156</v>
      </c>
      <c r="F11" s="266">
        <f ca="1">INDEX(OFFSET('Adjustment scenario'!$D$1:$W$1,$D11-1,0),MATCH(F$4,'Adjustment scenario'!$D$10:$W$10,0))</f>
        <v>2.97</v>
      </c>
      <c r="G11" s="266">
        <f ca="1">INDEX(OFFSET('Adjustment scenario'!$D$1:$W$1,$D11-1,0),MATCH(G$4,'Adjustment scenario'!$D$10:$W$10,0))</f>
        <v>2.8695020000000002</v>
      </c>
      <c r="H11" s="266">
        <f ca="1">INDEX(OFFSET('Adjustment scenario'!$D$1:$W$1,$D11-1,0),MATCH(H$4,'Adjustment scenario'!$D$10:$W$10,0))</f>
        <v>2.8953579999999999</v>
      </c>
      <c r="I11" s="266">
        <f ca="1">INDEX(OFFSET('Adjustment scenario'!$D$1:$W$1,$D11-1,0),MATCH(I$4,'Adjustment scenario'!$D$10:$W$10,0))</f>
        <v>2.9340169999999999</v>
      </c>
      <c r="J11" s="266">
        <f ca="1">INDEX(OFFSET('Adjustment scenario'!$D$1:$W$1,$D11-1,0),MATCH(J$4,'Adjustment scenario'!$D$10:$W$10,0))</f>
        <v>2.9726759999999999</v>
      </c>
      <c r="K11" s="266">
        <f ca="1">INDEX(OFFSET('Adjustment scenario'!$D$1:$W$1,$D11-1,0),MATCH(K$4,'Adjustment scenario'!$D$10:$W$10,0))</f>
        <v>3.0113349999999999</v>
      </c>
      <c r="L11" s="266">
        <f ca="1">INDEX(OFFSET('Adjustment scenario'!$D$1:$W$1,$D11-1,0),MATCH(L$4,'Adjustment scenario'!$D$10:$W$10,0))</f>
        <v>3.0499939999999999</v>
      </c>
      <c r="M11" s="266">
        <f ca="1">INDEX(OFFSET('Adjustment scenario'!$D$1:$W$1,$D11-1,0),MATCH(M$4,'Adjustment scenario'!$D$10:$W$10,0))</f>
        <v>3.0886529999999999</v>
      </c>
      <c r="N11" s="266">
        <f ca="1">INDEX(OFFSET('Adjustment scenario'!$D$1:$W$1,$D11-1,0),MATCH(N$4,'Adjustment scenario'!$D$10:$W$10,0))</f>
        <v>3.1273119999999999</v>
      </c>
      <c r="O11" s="266">
        <f ca="1">INDEX(OFFSET('Adjustment scenario'!$D$1:$W$1,$D11-1,0),MATCH(O$4,'Adjustment scenario'!$D$10:$W$10,0))</f>
        <v>3.1659709999999999</v>
      </c>
      <c r="P11" s="266">
        <f ca="1">INDEX(OFFSET('Adjustment scenario'!$D$1:$W$1,$D11-1,0),MATCH(P$4,'Adjustment scenario'!$D$10:$W$10,0))</f>
        <v>3.2046299999999999</v>
      </c>
      <c r="Q11" s="266">
        <f ca="1">INDEX(OFFSET('Adjustment scenario'!$D$1:$W$1,$D11-1,0),MATCH(Q$4,'Adjustment scenario'!$D$10:$W$10,0))</f>
        <v>3.2443985</v>
      </c>
      <c r="R11" s="266">
        <f ca="1">INDEX(OFFSET('Adjustment scenario'!$D$1:$W$1,$D11-1,0),MATCH(R$4,'Adjustment scenario'!$D$10:$W$10,0))</f>
        <v>3.2841670000000001</v>
      </c>
      <c r="S11" s="266">
        <f ca="1">INDEX(OFFSET('Adjustment scenario'!$D$1:$W$1,$D11-1,0),MATCH(S$4,'Adjustment scenario'!$D$10:$W$10,0))</f>
        <v>3.3239354999999997</v>
      </c>
      <c r="T11" s="266">
        <f ca="1">INDEX(OFFSET('Adjustment scenario'!$D$1:$W$1,$D11-1,0),MATCH(T$4,'Adjustment scenario'!$D$10:$W$10,0))</f>
        <v>3.3637039999999998</v>
      </c>
      <c r="U11" s="266">
        <f ca="1">INDEX(OFFSET('Adjustment scenario'!$D$1:$W$1,$D11-1,0),MATCH(U$4,'Adjustment scenario'!$D$10:$W$10,0))</f>
        <v>3.4034724999999999</v>
      </c>
      <c r="V11" s="266">
        <f ca="1">INDEX(OFFSET('Adjustment scenario'!$D$1:$W$1,$D11-1,0),MATCH(V$4,'Adjustment scenario'!$D$10:$W$10,0))</f>
        <v>3.443241</v>
      </c>
      <c r="W11" s="266">
        <f ca="1">INDEX(OFFSET('Adjustment scenario'!$D$1:$W$1,$D11-1,0),MATCH(W$4,'Adjustment scenario'!$D$10:$W$10,0))</f>
        <v>3.4830095000000001</v>
      </c>
      <c r="X11" s="266">
        <f ca="1">INDEX(OFFSET('Adjustment scenario'!$D$1:$W$1,$D11-1,0),MATCH(X$4,'Adjustment scenario'!$D$10:$W$10,0))</f>
        <v>3.5227779999999997</v>
      </c>
      <c r="Y11" s="185"/>
    </row>
    <row r="12" spans="1:25" x14ac:dyDescent="0.2">
      <c r="A12" s="185"/>
      <c r="B12" s="273">
        <v>8</v>
      </c>
      <c r="C12" s="280" t="s">
        <v>67</v>
      </c>
      <c r="D12" s="278">
        <v>38</v>
      </c>
      <c r="E12" s="279" t="s">
        <v>156</v>
      </c>
      <c r="F12" s="266">
        <f ca="1">INDEX(OFFSET('Adjustment scenario'!$D$1:$W$1,$D12-1,0),MATCH(F$4,'Adjustment scenario'!$D$10:$W$10,0))</f>
        <v>3.43</v>
      </c>
      <c r="G12" s="266">
        <f ca="1">INDEX(OFFSET('Adjustment scenario'!$D$1:$W$1,$D12-1,0),MATCH(G$4,'Adjustment scenario'!$D$10:$W$10,0))</f>
        <v>3.5642079999999998</v>
      </c>
      <c r="H12" s="266">
        <f ca="1">INDEX(OFFSET('Adjustment scenario'!$D$1:$W$1,$D12-1,0),MATCH(H$4,'Adjustment scenario'!$D$10:$W$10,0))</f>
        <v>2.8163749999999999</v>
      </c>
      <c r="I12" s="266">
        <f ca="1">INDEX(OFFSET('Adjustment scenario'!$D$1:$W$1,$D12-1,0),MATCH(I$4,'Adjustment scenario'!$D$10:$W$10,0))</f>
        <v>2.8050893749999997</v>
      </c>
      <c r="J12" s="266">
        <f ca="1">INDEX(OFFSET('Adjustment scenario'!$D$1:$W$1,$D12-1,0),MATCH(J$4,'Adjustment scenario'!$D$10:$W$10,0))</f>
        <v>2.7938037499999995</v>
      </c>
      <c r="K12" s="266">
        <f ca="1">INDEX(OFFSET('Adjustment scenario'!$D$1:$W$1,$D12-1,0),MATCH(K$4,'Adjustment scenario'!$D$10:$W$10,0))</f>
        <v>2.7825181249999993</v>
      </c>
      <c r="L12" s="266">
        <f ca="1">INDEX(OFFSET('Adjustment scenario'!$D$1:$W$1,$D12-1,0),MATCH(L$4,'Adjustment scenario'!$D$10:$W$10,0))</f>
        <v>2.7712324999999991</v>
      </c>
      <c r="M12" s="266">
        <f ca="1">INDEX(OFFSET('Adjustment scenario'!$D$1:$W$1,$D12-1,0),MATCH(M$4,'Adjustment scenario'!$D$10:$W$10,0))</f>
        <v>2.7599468749999989</v>
      </c>
      <c r="N12" s="266">
        <f ca="1">INDEX(OFFSET('Adjustment scenario'!$D$1:$W$1,$D12-1,0),MATCH(N$4,'Adjustment scenario'!$D$10:$W$10,0))</f>
        <v>2.7486612499999987</v>
      </c>
      <c r="O12" s="266">
        <f ca="1">INDEX(OFFSET('Adjustment scenario'!$D$1:$W$1,$D12-1,0),MATCH(O$4,'Adjustment scenario'!$D$10:$W$10,0))</f>
        <v>2.7373756249999985</v>
      </c>
      <c r="P12" s="266">
        <f ca="1">INDEX(OFFSET('Adjustment scenario'!$D$1:$W$1,$D12-1,0),MATCH(P$4,'Adjustment scenario'!$D$10:$W$10,0))</f>
        <v>2.7260900000000001</v>
      </c>
      <c r="Q12" s="266">
        <f ca="1">INDEX(OFFSET('Adjustment scenario'!$D$1:$W$1,$D12-1,0),MATCH(Q$4,'Adjustment scenario'!$D$10:$W$10,0))</f>
        <v>2.6897855000000002</v>
      </c>
      <c r="R12" s="266">
        <f ca="1">INDEX(OFFSET('Adjustment scenario'!$D$1:$W$1,$D12-1,0),MATCH(R$4,'Adjustment scenario'!$D$10:$W$10,0))</f>
        <v>2.6534810000000002</v>
      </c>
      <c r="S12" s="266">
        <f ca="1">INDEX(OFFSET('Adjustment scenario'!$D$1:$W$1,$D12-1,0),MATCH(S$4,'Adjustment scenario'!$D$10:$W$10,0))</f>
        <v>2.6171765000000002</v>
      </c>
      <c r="T12" s="266">
        <f ca="1">INDEX(OFFSET('Adjustment scenario'!$D$1:$W$1,$D12-1,0),MATCH(T$4,'Adjustment scenario'!$D$10:$W$10,0))</f>
        <v>2.5808720000000003</v>
      </c>
      <c r="U12" s="266">
        <f ca="1">INDEX(OFFSET('Adjustment scenario'!$D$1:$W$1,$D12-1,0),MATCH(U$4,'Adjustment scenario'!$D$10:$W$10,0))</f>
        <v>2.5445675000000003</v>
      </c>
      <c r="V12" s="266">
        <f ca="1">INDEX(OFFSET('Adjustment scenario'!$D$1:$W$1,$D12-1,0),MATCH(V$4,'Adjustment scenario'!$D$10:$W$10,0))</f>
        <v>2.5082629999999999</v>
      </c>
      <c r="W12" s="266">
        <f ca="1">INDEX(OFFSET('Adjustment scenario'!$D$1:$W$1,$D12-1,0),MATCH(W$4,'Adjustment scenario'!$D$10:$W$10,0))</f>
        <v>2.4719584999999999</v>
      </c>
      <c r="X12" s="266">
        <f ca="1">INDEX(OFFSET('Adjustment scenario'!$D$1:$W$1,$D12-1,0),MATCH(X$4,'Adjustment scenario'!$D$10:$W$10,0))</f>
        <v>2.435654</v>
      </c>
      <c r="Y12" s="185"/>
    </row>
    <row r="13" spans="1:25" x14ac:dyDescent="0.2">
      <c r="A13" s="185"/>
      <c r="B13" s="273">
        <v>9</v>
      </c>
      <c r="C13" s="277" t="s">
        <v>157</v>
      </c>
      <c r="D13" s="278">
        <v>36</v>
      </c>
      <c r="E13" s="279" t="s">
        <v>156</v>
      </c>
      <c r="F13" s="266">
        <f ca="1">INDEX(OFFSET('Adjustment scenario'!$D$1:$W$1,$D13-1,0),MATCH(F$4,'Adjustment scenario'!$D$10:$W$10,0))</f>
        <v>1.2501800000000001</v>
      </c>
      <c r="G13" s="266">
        <f ca="1">INDEX(OFFSET('Adjustment scenario'!$D$1:$W$1,$D13-1,0),MATCH(G$4,'Adjustment scenario'!$D$10:$W$10,0))</f>
        <v>1.5276190000000001</v>
      </c>
      <c r="H13" s="266">
        <f ca="1">INDEX(OFFSET('Adjustment scenario'!$D$1:$W$1,$D13-1,0),MATCH(H$4,'Adjustment scenario'!$D$10:$W$10,0))</f>
        <v>1.6779250000000001</v>
      </c>
      <c r="I13" s="266">
        <f ca="1">INDEX(OFFSET('Adjustment scenario'!$D$1:$W$1,$D13-1,0),MATCH(I$4,'Adjustment scenario'!$D$10:$W$10,0))</f>
        <v>1.8076504159462488</v>
      </c>
      <c r="J13" s="266">
        <f ca="1">INDEX(OFFSET('Adjustment scenario'!$D$1:$W$1,$D13-1,0),MATCH(J$4,'Adjustment scenario'!$D$10:$W$10,0))</f>
        <v>1.915575898410242</v>
      </c>
      <c r="K13" s="266">
        <f ca="1">INDEX(OFFSET('Adjustment scenario'!$D$1:$W$1,$D13-1,0),MATCH(K$4,'Adjustment scenario'!$D$10:$W$10,0))</f>
        <v>2.001132910047454</v>
      </c>
      <c r="L13" s="266">
        <f ca="1">INDEX(OFFSET('Adjustment scenario'!$D$1:$W$1,$D13-1,0),MATCH(L$4,'Adjustment scenario'!$D$10:$W$10,0))</f>
        <v>2.0777696003303627</v>
      </c>
      <c r="M13" s="266">
        <f ca="1">INDEX(OFFSET('Adjustment scenario'!$D$1:$W$1,$D13-1,0),MATCH(M$4,'Adjustment scenario'!$D$10:$W$10,0))</f>
        <v>2.160162698137885</v>
      </c>
      <c r="N13" s="266">
        <f ca="1">INDEX(OFFSET('Adjustment scenario'!$D$1:$W$1,$D13-1,0),MATCH(N$4,'Adjustment scenario'!$D$10:$W$10,0))</f>
        <v>2.2473481043520294</v>
      </c>
      <c r="O13" s="266">
        <f ca="1">INDEX(OFFSET('Adjustment scenario'!$D$1:$W$1,$D13-1,0),MATCH(O$4,'Adjustment scenario'!$D$10:$W$10,0))</f>
        <v>2.3379592142661361</v>
      </c>
      <c r="P13" s="266">
        <f ca="1">INDEX(OFFSET('Adjustment scenario'!$D$1:$W$1,$D13-1,0),MATCH(P$4,'Adjustment scenario'!$D$10:$W$10,0))</f>
        <v>2.4309285943829524</v>
      </c>
      <c r="Q13" s="266">
        <f ca="1">INDEX(OFFSET('Adjustment scenario'!$D$1:$W$1,$D13-1,0),MATCH(Q$4,'Adjustment scenario'!$D$10:$W$10,0))</f>
        <v>2.5242666869474162</v>
      </c>
      <c r="R13" s="266">
        <f ca="1">INDEX(OFFSET('Adjustment scenario'!$D$1:$W$1,$D13-1,0),MATCH(R$4,'Adjustment scenario'!$D$10:$W$10,0))</f>
        <v>2.6119127579871693</v>
      </c>
      <c r="S13" s="266">
        <f ca="1">INDEX(OFFSET('Adjustment scenario'!$D$1:$W$1,$D13-1,0),MATCH(S$4,'Adjustment scenario'!$D$10:$W$10,0))</f>
        <v>2.6941866269715082</v>
      </c>
      <c r="T13" s="266">
        <f ca="1">INDEX(OFFSET('Adjustment scenario'!$D$1:$W$1,$D13-1,0),MATCH(T$4,'Adjustment scenario'!$D$10:$W$10,0))</f>
        <v>2.7716191422797687</v>
      </c>
      <c r="U13" s="266">
        <f ca="1">INDEX(OFFSET('Adjustment scenario'!$D$1:$W$1,$D13-1,0),MATCH(U$4,'Adjustment scenario'!$D$10:$W$10,0))</f>
        <v>2.8445908556345119</v>
      </c>
      <c r="V13" s="266">
        <f ca="1">INDEX(OFFSET('Adjustment scenario'!$D$1:$W$1,$D13-1,0),MATCH(V$4,'Adjustment scenario'!$D$10:$W$10,0))</f>
        <v>2.9137264198070763</v>
      </c>
      <c r="W13" s="266">
        <f ca="1">INDEX(OFFSET('Adjustment scenario'!$D$1:$W$1,$D13-1,0),MATCH(W$4,'Adjustment scenario'!$D$10:$W$10,0))</f>
        <v>2.9793309473288856</v>
      </c>
      <c r="X13" s="266">
        <f ca="1">INDEX(OFFSET('Adjustment scenario'!$D$1:$W$1,$D13-1,0),MATCH(X$4,'Adjustment scenario'!$D$10:$W$10,0))</f>
        <v>3.0416416440119143</v>
      </c>
      <c r="Y13" s="185"/>
    </row>
    <row r="14" spans="1:25" x14ac:dyDescent="0.2">
      <c r="A14" s="185"/>
      <c r="B14" s="273">
        <v>10</v>
      </c>
      <c r="C14" s="277" t="s">
        <v>158</v>
      </c>
      <c r="D14" s="278">
        <v>72</v>
      </c>
      <c r="E14" s="279" t="s">
        <v>150</v>
      </c>
      <c r="F14" s="266">
        <f ca="1">INDEX(OFFSET('Adjustment scenario'!$D$1:$W$1,$D14-1,0),MATCH(F$4,'Adjustment scenario'!$D$10:$W$10,0))</f>
        <v>0.23943610000000001</v>
      </c>
      <c r="G14" s="266">
        <f ca="1">INDEX(OFFSET('Adjustment scenario'!$D$1:$W$1,$D14-1,0),MATCH(G$4,'Adjustment scenario'!$D$10:$W$10,0))</f>
        <v>1.036694</v>
      </c>
      <c r="H14" s="266">
        <f ca="1">INDEX(OFFSET('Adjustment scenario'!$D$1:$W$1,$D14-1,0),MATCH(H$4,'Adjustment scenario'!$D$10:$W$10,0))</f>
        <v>1.06619</v>
      </c>
      <c r="I14" s="266">
        <f ca="1">INDEX(OFFSET('Adjustment scenario'!$D$1:$W$1,$D14-1,0),MATCH(I$4,'Adjustment scenario'!$D$10:$W$10,0))</f>
        <v>1.0058400000000001</v>
      </c>
      <c r="J14" s="266">
        <f ca="1">INDEX(OFFSET('Adjustment scenario'!$D$1:$W$1,$D14-1,0),MATCH(J$4,'Adjustment scenario'!$D$10:$W$10,0))</f>
        <v>0.90413500000000002</v>
      </c>
      <c r="K14" s="266">
        <f ca="1">INDEX(OFFSET('Adjustment scenario'!$D$1:$W$1,$D14-1,0),MATCH(K$4,'Adjustment scenario'!$D$10:$W$10,0))</f>
        <v>0.79055200000000003</v>
      </c>
      <c r="L14" s="266">
        <f ca="1">INDEX(OFFSET('Adjustment scenario'!$D$1:$W$1,$D14-1,0),MATCH(L$4,'Adjustment scenario'!$D$10:$W$10,0))</f>
        <v>0.65862969999999998</v>
      </c>
      <c r="M14" s="266">
        <f ca="1">INDEX(OFFSET('Adjustment scenario'!$D$1:$W$1,$D14-1,0),MATCH(M$4,'Adjustment scenario'!$D$10:$W$10,0))</f>
        <v>0.49461250000000001</v>
      </c>
      <c r="N14" s="266">
        <f ca="1">INDEX(OFFSET('Adjustment scenario'!$D$1:$W$1,$D14-1,0),MATCH(N$4,'Adjustment scenario'!$D$10:$W$10,0))</f>
        <v>0.32602239999999999</v>
      </c>
      <c r="O14" s="266">
        <f ca="1">INDEX(OFFSET('Adjustment scenario'!$D$1:$W$1,$D14-1,0),MATCH(O$4,'Adjustment scenario'!$D$10:$W$10,0))</f>
        <v>0.15586639999999999</v>
      </c>
      <c r="P14" s="266">
        <f ca="1">INDEX(OFFSET('Adjustment scenario'!$D$1:$W$1,$D14-1,0),MATCH(P$4,'Adjustment scenario'!$D$10:$W$10,0))</f>
        <v>-2.03857E-2</v>
      </c>
      <c r="Q14" s="266">
        <f ca="1">INDEX(OFFSET('Adjustment scenario'!$D$1:$W$1,$D14-1,0),MATCH(Q$4,'Adjustment scenario'!$D$10:$W$10,0))</f>
        <v>-0.19921710000000001</v>
      </c>
      <c r="R14" s="266">
        <f ca="1">INDEX(OFFSET('Adjustment scenario'!$D$1:$W$1,$D14-1,0),MATCH(R$4,'Adjustment scenario'!$D$10:$W$10,0))</f>
        <v>-0.3653266</v>
      </c>
      <c r="S14" s="266">
        <f ca="1">INDEX(OFFSET('Adjustment scenario'!$D$1:$W$1,$D14-1,0),MATCH(S$4,'Adjustment scenario'!$D$10:$W$10,0))</f>
        <v>-0.52362160000000002</v>
      </c>
      <c r="T14" s="266">
        <f ca="1">INDEX(OFFSET('Adjustment scenario'!$D$1:$W$1,$D14-1,0),MATCH(T$4,'Adjustment scenario'!$D$10:$W$10,0))</f>
        <v>-0.68878539999999999</v>
      </c>
      <c r="U14" s="266">
        <f ca="1">INDEX(OFFSET('Adjustment scenario'!$D$1:$W$1,$D14-1,0),MATCH(U$4,'Adjustment scenario'!$D$10:$W$10,0))</f>
        <v>-0.84298320000000004</v>
      </c>
      <c r="V14" s="266">
        <f ca="1">INDEX(OFFSET('Adjustment scenario'!$D$1:$W$1,$D14-1,0),MATCH(V$4,'Adjustment scenario'!$D$10:$W$10,0))</f>
        <v>-0.99308909999999995</v>
      </c>
      <c r="W14" s="266">
        <f ca="1">INDEX(OFFSET('Adjustment scenario'!$D$1:$W$1,$D14-1,0),MATCH(W$4,'Adjustment scenario'!$D$10:$W$10,0))</f>
        <v>-1.145699</v>
      </c>
      <c r="X14" s="266">
        <f ca="1">INDEX(OFFSET('Adjustment scenario'!$D$1:$W$1,$D14-1,0),MATCH(X$4,'Adjustment scenario'!$D$10:$W$10,0))</f>
        <v>-1.3113919999999999</v>
      </c>
      <c r="Y14" s="185"/>
    </row>
    <row r="15" spans="1:25" x14ac:dyDescent="0.2">
      <c r="A15" s="185"/>
      <c r="B15" s="273">
        <v>11</v>
      </c>
      <c r="C15" s="281" t="s">
        <v>40</v>
      </c>
      <c r="D15" s="278">
        <v>27</v>
      </c>
      <c r="E15" s="279" t="s">
        <v>159</v>
      </c>
      <c r="F15" s="266">
        <f ca="1">(INDEX(OFFSET('Adjustment scenario'!$D$1:$W$1,$D15-1,0),MATCH(F$4,'Adjustment scenario'!$D$10:$W$10,0))/INDEX(OFFSET('Adjustment scenario'!$D$1:$W$1,$D15-1,0),MATCH(E$4,'Adjustment scenario'!$D$10:$W$10,0))-1)*100</f>
        <v>1.8269759999999913</v>
      </c>
      <c r="G15" s="266">
        <f ca="1">(INDEX(OFFSET('Adjustment scenario'!$D$1:$W$1,$D15-1,0),MATCH(G$4,'Adjustment scenario'!$D$10:$W$10,0))/INDEX(OFFSET('Adjustment scenario'!$D$1:$W$1,$D15-1,0),MATCH(F$4,'Adjustment scenario'!$D$10:$W$10,0))-1)*100</f>
        <v>1.8580990000000019</v>
      </c>
      <c r="H15" s="266">
        <f ca="1">(INDEX(OFFSET('Adjustment scenario'!$D$1:$W$1,$D15-1,0),MATCH(H$4,'Adjustment scenario'!$D$10:$W$10,0))/INDEX(OFFSET('Adjustment scenario'!$D$1:$W$1,$D15-1,0),MATCH(G$4,'Adjustment scenario'!$D$10:$W$10,0))-1)*100</f>
        <v>1.7876730000000007</v>
      </c>
      <c r="I15" s="266">
        <f ca="1">(INDEX(OFFSET('Adjustment scenario'!$D$1:$W$1,$D15-1,0),MATCH(I$4,'Adjustment scenario'!$D$10:$W$10,0))/INDEX(OFFSET('Adjustment scenario'!$D$1:$W$1,$D15-1,0),MATCH(H$4,'Adjustment scenario'!$D$10:$W$10,0))-1)*100</f>
        <v>1.8481380000000103</v>
      </c>
      <c r="J15" s="266">
        <f ca="1">(INDEX(OFFSET('Adjustment scenario'!$D$1:$W$1,$D15-1,0),MATCH(J$4,'Adjustment scenario'!$D$10:$W$10,0))/INDEX(OFFSET('Adjustment scenario'!$D$1:$W$1,$D15-1,0),MATCH(I$4,'Adjustment scenario'!$D$10:$W$10,0))-1)*100</f>
        <v>1.8853889999999929</v>
      </c>
      <c r="K15" s="266">
        <f ca="1">(INDEX(OFFSET('Adjustment scenario'!$D$1:$W$1,$D15-1,0),MATCH(K$4,'Adjustment scenario'!$D$10:$W$10,0))/INDEX(OFFSET('Adjustment scenario'!$D$1:$W$1,$D15-1,0),MATCH(J$4,'Adjustment scenario'!$D$10:$W$10,0))-1)*100</f>
        <v>1.9380989999999931</v>
      </c>
      <c r="L15" s="266">
        <f ca="1">(INDEX(OFFSET('Adjustment scenario'!$D$1:$W$1,$D15-1,0),MATCH(L$4,'Adjustment scenario'!$D$10:$W$10,0))/INDEX(OFFSET('Adjustment scenario'!$D$1:$W$1,$D15-1,0),MATCH(K$4,'Adjustment scenario'!$D$10:$W$10,0))-1)*100</f>
        <v>1.868085999999991</v>
      </c>
      <c r="M15" s="266">
        <f ca="1">(INDEX(OFFSET('Adjustment scenario'!$D$1:$W$1,$D15-1,0),MATCH(M$4,'Adjustment scenario'!$D$10:$W$10,0))/INDEX(OFFSET('Adjustment scenario'!$D$1:$W$1,$D15-1,0),MATCH(L$4,'Adjustment scenario'!$D$10:$W$10,0))-1)*100</f>
        <v>1.8073870000000047</v>
      </c>
      <c r="N15" s="266">
        <f ca="1">(INDEX(OFFSET('Adjustment scenario'!$D$1:$W$1,$D15-1,0),MATCH(N$4,'Adjustment scenario'!$D$10:$W$10,0))/INDEX(OFFSET('Adjustment scenario'!$D$1:$W$1,$D15-1,0),MATCH(M$4,'Adjustment scenario'!$D$10:$W$10,0))-1)*100</f>
        <v>1.7339530000000103</v>
      </c>
      <c r="O15" s="266">
        <f ca="1">(INDEX(OFFSET('Adjustment scenario'!$D$1:$W$1,$D15-1,0),MATCH(O$4,'Adjustment scenario'!$D$10:$W$10,0))/INDEX(OFFSET('Adjustment scenario'!$D$1:$W$1,$D15-1,0),MATCH(N$4,'Adjustment scenario'!$D$10:$W$10,0))-1)*100</f>
        <v>1.6593309999999972</v>
      </c>
      <c r="P15" s="266">
        <f ca="1">(INDEX(OFFSET('Adjustment scenario'!$D$1:$W$1,$D15-1,0),MATCH(P$4,'Adjustment scenario'!$D$10:$W$10,0))/INDEX(OFFSET('Adjustment scenario'!$D$1:$W$1,$D15-1,0),MATCH(O$4,'Adjustment scenario'!$D$10:$W$10,0))-1)*100</f>
        <v>1.6558730000000077</v>
      </c>
      <c r="Q15" s="266">
        <f ca="1">(INDEX(OFFSET('Adjustment scenario'!$D$1:$W$1,$D15-1,0),MATCH(Q$4,'Adjustment scenario'!$D$10:$W$10,0))/INDEX(OFFSET('Adjustment scenario'!$D$1:$W$1,$D15-1,0),MATCH(P$4,'Adjustment scenario'!$D$10:$W$10,0))-1)*100</f>
        <v>1.7004280000000094</v>
      </c>
      <c r="R15" s="266">
        <f ca="1">(INDEX(OFFSET('Adjustment scenario'!$D$1:$W$1,$D15-1,0),MATCH(R$4,'Adjustment scenario'!$D$10:$W$10,0))/INDEX(OFFSET('Adjustment scenario'!$D$1:$W$1,$D15-1,0),MATCH(Q$4,'Adjustment scenario'!$D$10:$W$10,0))-1)*100</f>
        <v>1.744984000000005</v>
      </c>
      <c r="S15" s="266">
        <f ca="1">(INDEX(OFFSET('Adjustment scenario'!$D$1:$W$1,$D15-1,0),MATCH(S$4,'Adjustment scenario'!$D$10:$W$10,0))/INDEX(OFFSET('Adjustment scenario'!$D$1:$W$1,$D15-1,0),MATCH(R$4,'Adjustment scenario'!$D$10:$W$10,0))-1)*100</f>
        <v>1.7895400000000006</v>
      </c>
      <c r="T15" s="266">
        <f ca="1">(INDEX(OFFSET('Adjustment scenario'!$D$1:$W$1,$D15-1,0),MATCH(T$4,'Adjustment scenario'!$D$10:$W$10,0))/INDEX(OFFSET('Adjustment scenario'!$D$1:$W$1,$D15-1,0),MATCH(S$4,'Adjustment scenario'!$D$10:$W$10,0))-1)*100</f>
        <v>1.8757619999999919</v>
      </c>
      <c r="U15" s="266">
        <f ca="1">(INDEX(OFFSET('Adjustment scenario'!$D$1:$W$1,$D15-1,0),MATCH(U$4,'Adjustment scenario'!$D$10:$W$10,0))/INDEX(OFFSET('Adjustment scenario'!$D$1:$W$1,$D15-1,0),MATCH(T$4,'Adjustment scenario'!$D$10:$W$10,0))-1)*100</f>
        <v>1.9914970000000087</v>
      </c>
      <c r="V15" s="266">
        <f ca="1">(INDEX(OFFSET('Adjustment scenario'!$D$1:$W$1,$D15-1,0),MATCH(V$4,'Adjustment scenario'!$D$10:$W$10,0))/INDEX(OFFSET('Adjustment scenario'!$D$1:$W$1,$D15-1,0),MATCH(U$4,'Adjustment scenario'!$D$10:$W$10,0))-1)*100</f>
        <v>2.1287339999999988</v>
      </c>
      <c r="W15" s="266">
        <f ca="1">(INDEX(OFFSET('Adjustment scenario'!$D$1:$W$1,$D15-1,0),MATCH(W$4,'Adjustment scenario'!$D$10:$W$10,0))/INDEX(OFFSET('Adjustment scenario'!$D$1:$W$1,$D15-1,0),MATCH(V$4,'Adjustment scenario'!$D$10:$W$10,0))-1)*100</f>
        <v>2.2491620000000045</v>
      </c>
      <c r="X15" s="266">
        <f ca="1">(INDEX(OFFSET('Adjustment scenario'!$D$1:$W$1,$D15-1,0),MATCH(X$4,'Adjustment scenario'!$D$10:$W$10,0))/INDEX(OFFSET('Adjustment scenario'!$D$1:$W$1,$D15-1,0),MATCH(W$4,'Adjustment scenario'!$D$10:$W$10,0))-1)*100</f>
        <v>2.2265500000000049</v>
      </c>
      <c r="Y15" s="185"/>
    </row>
    <row r="16" spans="1:25" x14ac:dyDescent="0.2">
      <c r="A16" s="185"/>
      <c r="B16" s="273">
        <v>12</v>
      </c>
      <c r="C16" s="269" t="s">
        <v>160</v>
      </c>
      <c r="D16" s="278">
        <v>24</v>
      </c>
      <c r="E16" s="279" t="s">
        <v>159</v>
      </c>
      <c r="F16" s="266">
        <f ca="1">INDEX(OFFSET('Adjustment scenario'!$D$1:$W$1,$D16-1,0),MATCH(F$4,'Adjustment scenario'!$D$10:$W$10,0))</f>
        <v>-1.0957300000000001</v>
      </c>
      <c r="G16" s="266">
        <f ca="1">INDEX(OFFSET('Adjustment scenario'!$D$1:$W$1,$D16-1,0),MATCH(G$4,'Adjustment scenario'!$D$10:$W$10,0))</f>
        <v>1.437554</v>
      </c>
      <c r="H16" s="266">
        <f ca="1">INDEX(OFFSET('Adjustment scenario'!$D$1:$W$1,$D16-1,0),MATCH(H$4,'Adjustment scenario'!$D$10:$W$10,0))</f>
        <v>1.9852900000000062</v>
      </c>
      <c r="I16" s="266">
        <f ca="1">INDEX(OFFSET('Adjustment scenario'!$D$1:$W$1,$D16-1,0),MATCH(I$4,'Adjustment scenario'!$D$10:$W$10,0))</f>
        <v>2.8606310000000024</v>
      </c>
      <c r="J16" s="266">
        <f ca="1">INDEX(OFFSET('Adjustment scenario'!$D$1:$W$1,$D16-1,0),MATCH(J$4,'Adjustment scenario'!$D$10:$W$10,0))</f>
        <v>3.2225979999999987</v>
      </c>
      <c r="K16" s="266">
        <f ca="1">INDEX(OFFSET('Adjustment scenario'!$D$1:$W$1,$D16-1,0),MATCH(K$4,'Adjustment scenario'!$D$10:$W$10,0))</f>
        <v>2.598382999999993</v>
      </c>
      <c r="L16" s="266">
        <f ca="1">INDEX(OFFSET('Adjustment scenario'!$D$1:$W$1,$D16-1,0),MATCH(L$4,'Adjustment scenario'!$D$10:$W$10,0))</f>
        <v>1.8680809999999992</v>
      </c>
      <c r="M16" s="266">
        <f ca="1">INDEX(OFFSET('Adjustment scenario'!$D$1:$W$1,$D16-1,0),MATCH(M$4,'Adjustment scenario'!$D$10:$W$10,0))</f>
        <v>1.8073860000000108</v>
      </c>
      <c r="N16" s="266">
        <f ca="1">INDEX(OFFSET('Adjustment scenario'!$D$1:$W$1,$D16-1,0),MATCH(N$4,'Adjustment scenario'!$D$10:$W$10,0))</f>
        <v>1.7339500000000063</v>
      </c>
      <c r="O16" s="266">
        <f ca="1">INDEX(OFFSET('Adjustment scenario'!$D$1:$W$1,$D16-1,0),MATCH(O$4,'Adjustment scenario'!$D$10:$W$10,0))</f>
        <v>1.6593319999999911</v>
      </c>
      <c r="P16" s="266">
        <f ca="1">INDEX(OFFSET('Adjustment scenario'!$D$1:$W$1,$D16-1,0),MATCH(P$4,'Adjustment scenario'!$D$10:$W$10,0))</f>
        <v>1.6558749999999955</v>
      </c>
      <c r="Q16" s="266">
        <f ca="1">INDEX(OFFSET('Adjustment scenario'!$D$1:$W$1,$D16-1,0),MATCH(Q$4,'Adjustment scenario'!$D$10:$W$10,0))</f>
        <v>1.7004269999999932</v>
      </c>
      <c r="R16" s="266">
        <f ca="1">INDEX(OFFSET('Adjustment scenario'!$D$1:$W$1,$D16-1,0),MATCH(R$4,'Adjustment scenario'!$D$10:$W$10,0))</f>
        <v>1.7449819999999949</v>
      </c>
      <c r="S16" s="266">
        <f ca="1">INDEX(OFFSET('Adjustment scenario'!$D$1:$W$1,$D16-1,0),MATCH(S$4,'Adjustment scenario'!$D$10:$W$10,0))</f>
        <v>1.7895409999999945</v>
      </c>
      <c r="T16" s="266">
        <f ca="1">INDEX(OFFSET('Adjustment scenario'!$D$1:$W$1,$D16-1,0),MATCH(T$4,'Adjustment scenario'!$D$10:$W$10,0))</f>
        <v>1.8757590000000102</v>
      </c>
      <c r="U16" s="266">
        <f ca="1">INDEX(OFFSET('Adjustment scenario'!$D$1:$W$1,$D16-1,0),MATCH(U$4,'Adjustment scenario'!$D$10:$W$10,0))</f>
        <v>1.9914949999999987</v>
      </c>
      <c r="V16" s="266">
        <f ca="1">INDEX(OFFSET('Adjustment scenario'!$D$1:$W$1,$D16-1,0),MATCH(V$4,'Adjustment scenario'!$D$10:$W$10,0))</f>
        <v>2.1287349999999927</v>
      </c>
      <c r="W16" s="266">
        <f ca="1">INDEX(OFFSET('Adjustment scenario'!$D$1:$W$1,$D16-1,0),MATCH(W$4,'Adjustment scenario'!$D$10:$W$10,0))</f>
        <v>2.2491660000000024</v>
      </c>
      <c r="X16" s="266">
        <f ca="1">INDEX(OFFSET('Adjustment scenario'!$D$1:$W$1,$D16-1,0),MATCH(X$4,'Adjustment scenario'!$D$10:$W$10,0))</f>
        <v>2.2265519999999928</v>
      </c>
      <c r="Y16" s="185"/>
    </row>
    <row r="17" spans="1:25" x14ac:dyDescent="0.2">
      <c r="A17" s="185"/>
      <c r="B17" s="273">
        <v>13</v>
      </c>
      <c r="C17" s="282" t="s">
        <v>161</v>
      </c>
      <c r="D17" s="278">
        <v>42</v>
      </c>
      <c r="E17" s="279" t="s">
        <v>159</v>
      </c>
      <c r="F17" s="266">
        <f ca="1">INDEX(OFFSET('Adjustment scenario'!$D$1:$W$1,$D17-1,0),MATCH(F$4,'Adjustment scenario'!$D$10:$W$10,0))</f>
        <v>3.4300320000000002</v>
      </c>
      <c r="G17" s="266">
        <f ca="1">INDEX(OFFSET('Adjustment scenario'!$D$1:$W$1,$D17-1,0),MATCH(G$4,'Adjustment scenario'!$D$10:$W$10,0))</f>
        <v>3.9866290000000002</v>
      </c>
      <c r="H17" s="266">
        <f ca="1">INDEX(OFFSET('Adjustment scenario'!$D$1:$W$1,$D17-1,0),MATCH(H$4,'Adjustment scenario'!$D$10:$W$10,0))</f>
        <v>2.5352489999999999</v>
      </c>
      <c r="I17" s="266">
        <f ca="1">INDEX(OFFSET('Adjustment scenario'!$D$1:$W$1,$D17-1,0),MATCH(I$4,'Adjustment scenario'!$D$10:$W$10,0))</f>
        <v>2.5370928749999999</v>
      </c>
      <c r="J17" s="266">
        <f ca="1">INDEX(OFFSET('Adjustment scenario'!$D$1:$W$1,$D17-1,0),MATCH(J$4,'Adjustment scenario'!$D$10:$W$10,0))</f>
        <v>2.53893675</v>
      </c>
      <c r="K17" s="266">
        <f ca="1">INDEX(OFFSET('Adjustment scenario'!$D$1:$W$1,$D17-1,0),MATCH(K$4,'Adjustment scenario'!$D$10:$W$10,0))</f>
        <v>2.540780625</v>
      </c>
      <c r="L17" s="266">
        <f ca="1">INDEX(OFFSET('Adjustment scenario'!$D$1:$W$1,$D17-1,0),MATCH(L$4,'Adjustment scenario'!$D$10:$W$10,0))</f>
        <v>2.5426244999999996</v>
      </c>
      <c r="M17" s="266">
        <f ca="1">INDEX(OFFSET('Adjustment scenario'!$D$1:$W$1,$D17-1,0),MATCH(M$4,'Adjustment scenario'!$D$10:$W$10,0))</f>
        <v>2.5444683749999997</v>
      </c>
      <c r="N17" s="266">
        <f ca="1">INDEX(OFFSET('Adjustment scenario'!$D$1:$W$1,$D17-1,0),MATCH(N$4,'Adjustment scenario'!$D$10:$W$10,0))</f>
        <v>2.5463122499999997</v>
      </c>
      <c r="O17" s="266">
        <f ca="1">INDEX(OFFSET('Adjustment scenario'!$D$1:$W$1,$D17-1,0),MATCH(O$4,'Adjustment scenario'!$D$10:$W$10,0))</f>
        <v>2.5481561249999998</v>
      </c>
      <c r="P17" s="266">
        <f ca="1">INDEX(OFFSET('Adjustment scenario'!$D$1:$W$1,$D17-1,0),MATCH(P$4,'Adjustment scenario'!$D$10:$W$10,0))</f>
        <v>2.5499999999999998</v>
      </c>
      <c r="Q17" s="266">
        <f ca="1">INDEX(OFFSET('Adjustment scenario'!$D$1:$W$1,$D17-1,0),MATCH(Q$4,'Adjustment scenario'!$D$10:$W$10,0))</f>
        <v>2.5225</v>
      </c>
      <c r="R17" s="266">
        <f ca="1">INDEX(OFFSET('Adjustment scenario'!$D$1:$W$1,$D17-1,0),MATCH(R$4,'Adjustment scenario'!$D$10:$W$10,0))</f>
        <v>2.4949999999999997</v>
      </c>
      <c r="S17" s="266">
        <f ca="1">INDEX(OFFSET('Adjustment scenario'!$D$1:$W$1,$D17-1,0),MATCH(S$4,'Adjustment scenario'!$D$10:$W$10,0))</f>
        <v>2.4674999999999998</v>
      </c>
      <c r="T17" s="266">
        <f ca="1">INDEX(OFFSET('Adjustment scenario'!$D$1:$W$1,$D17-1,0),MATCH(T$4,'Adjustment scenario'!$D$10:$W$10,0))</f>
        <v>2.44</v>
      </c>
      <c r="U17" s="266">
        <f ca="1">INDEX(OFFSET('Adjustment scenario'!$D$1:$W$1,$D17-1,0),MATCH(U$4,'Adjustment scenario'!$D$10:$W$10,0))</f>
        <v>2.4124999999999996</v>
      </c>
      <c r="V17" s="266">
        <f ca="1">INDEX(OFFSET('Adjustment scenario'!$D$1:$W$1,$D17-1,0),MATCH(V$4,'Adjustment scenario'!$D$10:$W$10,0))</f>
        <v>2.3849999999999998</v>
      </c>
      <c r="W17" s="266">
        <f ca="1">INDEX(OFFSET('Adjustment scenario'!$D$1:$W$1,$D17-1,0),MATCH(W$4,'Adjustment scenario'!$D$10:$W$10,0))</f>
        <v>2.3574999999999999</v>
      </c>
      <c r="X17" s="266">
        <f ca="1">INDEX(OFFSET('Adjustment scenario'!$D$1:$W$1,$D17-1,0),MATCH(X$4,'Adjustment scenario'!$D$10:$W$10,0))</f>
        <v>2.33</v>
      </c>
      <c r="Y17" s="185"/>
    </row>
    <row r="18" spans="1:25" x14ac:dyDescent="0.2">
      <c r="A18" s="185"/>
      <c r="B18" s="273">
        <v>14</v>
      </c>
      <c r="C18" s="269" t="s">
        <v>162</v>
      </c>
      <c r="D18" s="278">
        <v>33</v>
      </c>
      <c r="E18" s="279" t="s">
        <v>159</v>
      </c>
      <c r="F18" s="266">
        <f ca="1">INDEX(OFFSET('Adjustment scenario'!$D$1:$W$1,$D18-1,0),MATCH(F$4,'Adjustment scenario'!$D$10:$W$10,0))</f>
        <v>2.2967181103664025</v>
      </c>
      <c r="G18" s="266">
        <f ca="1">INDEX(OFFSET('Adjustment scenario'!$D$1:$W$1,$D18-1,0),MATCH(G$4,'Adjustment scenario'!$D$10:$W$10,0))</f>
        <v>5.4814929446546756</v>
      </c>
      <c r="H18" s="266">
        <f ca="1">INDEX(OFFSET('Adjustment scenario'!$D$1:$W$1,$D18-1,0),MATCH(H$4,'Adjustment scenario'!$D$10:$W$10,0))</f>
        <v>4.5708710448721046</v>
      </c>
      <c r="I18" s="266">
        <f ca="1">INDEX(OFFSET('Adjustment scenario'!$D$1:$W$1,$D18-1,0),MATCH(I$4,'Adjustment scenario'!$D$10:$W$10,0))</f>
        <v>5.4703007402810311</v>
      </c>
      <c r="J18" s="266">
        <f ca="1">INDEX(OFFSET('Adjustment scenario'!$D$1:$W$1,$D18-1,0),MATCH(J$4,'Adjustment scenario'!$D$10:$W$10,0))</f>
        <v>5.8433544749267652</v>
      </c>
      <c r="K18" s="266">
        <f ca="1">INDEX(OFFSET('Adjustment scenario'!$D$1:$W$1,$D18-1,0),MATCH(K$4,'Adjustment scenario'!$D$10:$W$10,0))</f>
        <v>5.2051828368272934</v>
      </c>
      <c r="L18" s="266">
        <f ca="1">INDEX(OFFSET('Adjustment scenario'!$D$1:$W$1,$D18-1,0),MATCH(L$4,'Adjustment scenario'!$D$10:$W$10,0))</f>
        <v>4.4582037851858436</v>
      </c>
      <c r="M18" s="266">
        <f ca="1">INDEX(OFFSET('Adjustment scenario'!$D$1:$W$1,$D18-1,0),MATCH(M$4,'Adjustment scenario'!$D$10:$W$10,0))</f>
        <v>4.3978427401841769</v>
      </c>
      <c r="N18" s="266">
        <f ca="1">INDEX(OFFSET('Adjustment scenario'!$D$1:$W$1,$D18-1,0),MATCH(N$4,'Adjustment scenario'!$D$10:$W$10,0))</f>
        <v>4.3244140312588719</v>
      </c>
      <c r="O18" s="266">
        <f ca="1">INDEX(OFFSET('Adjustment scenario'!$D$1:$W$1,$D18-1,0),MATCH(O$4,'Adjustment scenario'!$D$10:$W$10,0))</f>
        <v>4.2497704949920667</v>
      </c>
      <c r="P18" s="266">
        <f ca="1">INDEX(OFFSET('Adjustment scenario'!$D$1:$W$1,$D18-1,0),MATCH(P$4,'Adjustment scenario'!$D$10:$W$10,0))</f>
        <v>4.2480998125000058</v>
      </c>
      <c r="Q18" s="266">
        <f ca="1">INDEX(OFFSET('Adjustment scenario'!$D$1:$W$1,$D18-1,0),MATCH(Q$4,'Adjustment scenario'!$D$10:$W$10,0))</f>
        <v>4.2658202710750048</v>
      </c>
      <c r="R18" s="266">
        <f ca="1">INDEX(OFFSET('Adjustment scenario'!$D$1:$W$1,$D18-1,0),MATCH(R$4,'Adjustment scenario'!$D$10:$W$10,0))</f>
        <v>4.2835193009000072</v>
      </c>
      <c r="S18" s="266">
        <f ca="1">INDEX(OFFSET('Adjustment scenario'!$D$1:$W$1,$D18-1,0),MATCH(S$4,'Adjustment scenario'!$D$10:$W$10,0))</f>
        <v>4.3011979241750042</v>
      </c>
      <c r="T18" s="266">
        <f ca="1">INDEX(OFFSET('Adjustment scenario'!$D$1:$W$1,$D18-1,0),MATCH(T$4,'Adjustment scenario'!$D$10:$W$10,0))</f>
        <v>4.3615275196000169</v>
      </c>
      <c r="U18" s="266">
        <f ca="1">INDEX(OFFSET('Adjustment scenario'!$D$1:$W$1,$D18-1,0),MATCH(U$4,'Adjustment scenario'!$D$10:$W$10,0))</f>
        <v>4.4520398168749864</v>
      </c>
      <c r="V18" s="266">
        <f ca="1">INDEX(OFFSET('Adjustment scenario'!$D$1:$W$1,$D18-1,0),MATCH(V$4,'Adjustment scenario'!$D$10:$W$10,0))</f>
        <v>4.5645053297499905</v>
      </c>
      <c r="W18" s="266">
        <f ca="1">INDEX(OFFSET('Adjustment scenario'!$D$1:$W$1,$D18-1,0),MATCH(W$4,'Adjustment scenario'!$D$10:$W$10,0))</f>
        <v>4.659690088449997</v>
      </c>
      <c r="X18" s="266">
        <f ca="1">INDEX(OFFSET('Adjustment scenario'!$D$1:$W$1,$D18-1,0),MATCH(X$4,'Adjustment scenario'!$D$10:$W$10,0))</f>
        <v>4.6084306615999937</v>
      </c>
      <c r="Y18" s="185"/>
    </row>
    <row r="19" spans="1:25" x14ac:dyDescent="0.2">
      <c r="A19" s="185"/>
      <c r="B19" s="267"/>
      <c r="C19" s="288"/>
      <c r="D19" s="288"/>
      <c r="E19" s="288"/>
      <c r="F19" s="288"/>
      <c r="G19" s="288"/>
      <c r="H19" s="288"/>
      <c r="I19" s="288"/>
      <c r="J19" s="288"/>
      <c r="K19" s="185"/>
      <c r="L19" s="185"/>
      <c r="M19" s="185"/>
      <c r="N19" s="185"/>
      <c r="O19" s="185"/>
      <c r="P19" s="185"/>
      <c r="Q19" s="185"/>
      <c r="R19" s="185"/>
      <c r="S19" s="185"/>
      <c r="T19" s="185"/>
      <c r="U19" s="185"/>
      <c r="V19" s="185"/>
      <c r="W19" s="185"/>
      <c r="X19" s="185"/>
      <c r="Y19" s="185"/>
    </row>
    <row r="20" spans="1:25" x14ac:dyDescent="0.2">
      <c r="A20" s="185"/>
      <c r="B20" s="289"/>
      <c r="C20" s="271" t="s">
        <v>163</v>
      </c>
      <c r="D20" s="272"/>
      <c r="E20" s="272"/>
      <c r="F20" s="272"/>
      <c r="G20" s="288"/>
      <c r="H20" s="288"/>
      <c r="I20" s="288"/>
      <c r="J20" s="288"/>
      <c r="K20" s="185"/>
      <c r="L20" s="185"/>
      <c r="M20" s="185"/>
      <c r="N20" s="185"/>
      <c r="O20" s="185"/>
      <c r="P20" s="185"/>
      <c r="Q20" s="185"/>
      <c r="R20" s="185"/>
      <c r="S20" s="185"/>
      <c r="T20" s="185"/>
      <c r="U20" s="185"/>
      <c r="V20" s="185"/>
      <c r="W20" s="185"/>
      <c r="X20" s="185"/>
      <c r="Y20" s="185"/>
    </row>
    <row r="21" spans="1:25" x14ac:dyDescent="0.2">
      <c r="A21" s="185"/>
      <c r="B21" s="267"/>
      <c r="C21" s="288"/>
      <c r="D21" s="288"/>
      <c r="E21" s="288"/>
      <c r="F21" s="288"/>
      <c r="G21" s="288"/>
      <c r="H21" s="288"/>
      <c r="I21" s="288"/>
      <c r="J21" s="288"/>
      <c r="K21" s="185"/>
      <c r="L21" s="185"/>
      <c r="M21" s="185"/>
      <c r="N21" s="185"/>
      <c r="O21" s="185"/>
      <c r="P21" s="185"/>
      <c r="Q21" s="185"/>
      <c r="R21" s="185"/>
      <c r="S21" s="185"/>
      <c r="T21" s="185"/>
      <c r="U21" s="185"/>
      <c r="V21" s="185"/>
      <c r="W21" s="185"/>
      <c r="X21" s="185"/>
      <c r="Y21" s="185"/>
    </row>
    <row r="22" spans="1:25" x14ac:dyDescent="0.2">
      <c r="A22" s="185"/>
      <c r="B22" s="273"/>
      <c r="C22" s="271" t="s">
        <v>12</v>
      </c>
      <c r="D22" s="271"/>
      <c r="E22" s="275">
        <f>F22-1</f>
        <v>-1</v>
      </c>
      <c r="F22" s="276"/>
      <c r="G22" s="276"/>
      <c r="H22" s="276"/>
      <c r="I22" s="276"/>
      <c r="J22" s="276"/>
      <c r="K22" s="276"/>
      <c r="L22" s="276"/>
      <c r="M22" s="276"/>
      <c r="N22" s="276"/>
      <c r="O22" s="276"/>
      <c r="P22" s="276"/>
      <c r="Q22" s="276"/>
      <c r="R22" s="276"/>
      <c r="S22" s="276"/>
      <c r="T22" s="276"/>
      <c r="U22" s="276"/>
      <c r="V22" s="276"/>
      <c r="W22" s="276"/>
      <c r="X22" s="276"/>
      <c r="Y22" s="185"/>
    </row>
    <row r="23" spans="1:25" x14ac:dyDescent="0.2">
      <c r="A23" s="185"/>
      <c r="B23" s="273">
        <v>1</v>
      </c>
      <c r="C23" s="277" t="s">
        <v>149</v>
      </c>
      <c r="D23" s="278">
        <v>56</v>
      </c>
      <c r="E23" s="279" t="s">
        <v>150</v>
      </c>
      <c r="F23" s="266"/>
      <c r="G23" s="266"/>
      <c r="H23" s="266"/>
      <c r="I23" s="266"/>
      <c r="J23" s="266"/>
      <c r="K23" s="266"/>
      <c r="L23" s="266"/>
      <c r="M23" s="266"/>
      <c r="N23" s="266"/>
      <c r="O23" s="266"/>
      <c r="P23" s="266"/>
      <c r="Q23" s="266"/>
      <c r="R23" s="266"/>
      <c r="S23" s="266"/>
      <c r="T23" s="266"/>
      <c r="U23" s="266"/>
      <c r="V23" s="266"/>
      <c r="W23" s="266"/>
      <c r="X23" s="266"/>
      <c r="Y23" s="185"/>
    </row>
    <row r="24" spans="1:25" x14ac:dyDescent="0.2">
      <c r="A24" s="185"/>
      <c r="B24" s="273">
        <v>2</v>
      </c>
      <c r="C24" s="277" t="s">
        <v>66</v>
      </c>
      <c r="D24" s="278">
        <v>36</v>
      </c>
      <c r="E24" s="279" t="s">
        <v>156</v>
      </c>
      <c r="F24" s="266"/>
      <c r="G24" s="266"/>
      <c r="H24" s="266"/>
      <c r="I24" s="266"/>
      <c r="J24" s="266"/>
      <c r="K24" s="266"/>
      <c r="L24" s="266"/>
      <c r="M24" s="266"/>
      <c r="N24" s="266"/>
      <c r="O24" s="266"/>
      <c r="P24" s="266"/>
      <c r="Q24" s="266"/>
      <c r="R24" s="266"/>
      <c r="S24" s="266"/>
      <c r="T24" s="266"/>
      <c r="U24" s="266"/>
      <c r="V24" s="266"/>
      <c r="W24" s="266"/>
      <c r="X24" s="266"/>
      <c r="Y24" s="185"/>
    </row>
    <row r="25" spans="1:25" x14ac:dyDescent="0.2">
      <c r="A25" s="185"/>
      <c r="B25" s="273">
        <v>3</v>
      </c>
      <c r="C25" s="277" t="s">
        <v>67</v>
      </c>
      <c r="D25" s="278">
        <v>37</v>
      </c>
      <c r="E25" s="279" t="s">
        <v>156</v>
      </c>
      <c r="F25" s="266"/>
      <c r="G25" s="266"/>
      <c r="H25" s="266"/>
      <c r="I25" s="266"/>
      <c r="J25" s="266"/>
      <c r="K25" s="266"/>
      <c r="L25" s="266"/>
      <c r="M25" s="266"/>
      <c r="N25" s="266"/>
      <c r="O25" s="266"/>
      <c r="P25" s="266"/>
      <c r="Q25" s="266"/>
      <c r="R25" s="266"/>
      <c r="S25" s="266"/>
      <c r="T25" s="266"/>
      <c r="U25" s="266"/>
      <c r="V25" s="266"/>
      <c r="W25" s="266"/>
      <c r="X25" s="266"/>
      <c r="Y25" s="185"/>
    </row>
    <row r="26" spans="1:25" x14ac:dyDescent="0.2">
      <c r="A26" s="185"/>
      <c r="B26" s="273"/>
      <c r="C26" s="271" t="s">
        <v>13</v>
      </c>
      <c r="D26" s="271"/>
      <c r="E26" s="275">
        <f>F26-1</f>
        <v>-1</v>
      </c>
      <c r="F26" s="276"/>
      <c r="G26" s="276"/>
      <c r="H26" s="276"/>
      <c r="I26" s="276"/>
      <c r="J26" s="276"/>
      <c r="K26" s="276"/>
      <c r="L26" s="276"/>
      <c r="M26" s="276"/>
      <c r="N26" s="276"/>
      <c r="O26" s="276"/>
      <c r="P26" s="276"/>
      <c r="Q26" s="276"/>
      <c r="R26" s="276"/>
      <c r="S26" s="276"/>
      <c r="T26" s="276"/>
      <c r="U26" s="276"/>
      <c r="V26" s="276"/>
      <c r="W26" s="276"/>
      <c r="X26" s="276"/>
      <c r="Y26" s="185"/>
    </row>
    <row r="27" spans="1:25" x14ac:dyDescent="0.2">
      <c r="A27" s="185"/>
      <c r="B27" s="273">
        <v>4</v>
      </c>
      <c r="C27" s="277" t="s">
        <v>149</v>
      </c>
      <c r="D27" s="278">
        <v>56</v>
      </c>
      <c r="E27" s="279" t="s">
        <v>150</v>
      </c>
      <c r="F27" s="266"/>
      <c r="G27" s="266"/>
      <c r="H27" s="266"/>
      <c r="I27" s="266"/>
      <c r="J27" s="266"/>
      <c r="K27" s="266"/>
      <c r="L27" s="266"/>
      <c r="M27" s="266"/>
      <c r="N27" s="266"/>
      <c r="O27" s="266"/>
      <c r="P27" s="266"/>
      <c r="Q27" s="266"/>
      <c r="R27" s="266"/>
      <c r="S27" s="266"/>
      <c r="T27" s="266"/>
      <c r="U27" s="266"/>
      <c r="V27" s="266"/>
      <c r="W27" s="266"/>
      <c r="X27" s="266"/>
      <c r="Y27" s="185"/>
    </row>
    <row r="28" spans="1:25" x14ac:dyDescent="0.2">
      <c r="A28" s="185"/>
      <c r="B28" s="273">
        <v>5</v>
      </c>
      <c r="C28" s="277" t="s">
        <v>18</v>
      </c>
      <c r="D28" s="278">
        <v>12</v>
      </c>
      <c r="E28" s="279" t="s">
        <v>152</v>
      </c>
      <c r="F28" s="266"/>
      <c r="G28" s="266"/>
      <c r="H28" s="266"/>
      <c r="I28" s="266"/>
      <c r="J28" s="266"/>
      <c r="K28" s="266"/>
      <c r="L28" s="266"/>
      <c r="M28" s="266"/>
      <c r="N28" s="266"/>
      <c r="O28" s="266"/>
      <c r="P28" s="266"/>
      <c r="Q28" s="266"/>
      <c r="R28" s="266"/>
      <c r="S28" s="266"/>
      <c r="T28" s="266"/>
      <c r="U28" s="266"/>
      <c r="V28" s="266"/>
      <c r="W28" s="266"/>
      <c r="X28" s="266"/>
      <c r="Y28" s="185"/>
    </row>
    <row r="29" spans="1:25" x14ac:dyDescent="0.2">
      <c r="A29" s="185"/>
      <c r="B29" s="273"/>
      <c r="C29" s="271" t="s">
        <v>164</v>
      </c>
      <c r="D29" s="271"/>
      <c r="E29" s="275">
        <f>F29-1</f>
        <v>-1</v>
      </c>
      <c r="F29" s="276"/>
      <c r="G29" s="276"/>
      <c r="H29" s="276"/>
      <c r="I29" s="276"/>
      <c r="J29" s="276"/>
      <c r="K29" s="276"/>
      <c r="L29" s="276"/>
      <c r="M29" s="276"/>
      <c r="N29" s="276"/>
      <c r="O29" s="276"/>
      <c r="P29" s="276"/>
      <c r="Q29" s="276"/>
      <c r="R29" s="276"/>
      <c r="S29" s="276"/>
      <c r="T29" s="276"/>
      <c r="U29" s="276"/>
      <c r="V29" s="276"/>
      <c r="W29" s="276"/>
      <c r="X29" s="276"/>
      <c r="Y29" s="185"/>
    </row>
    <row r="30" spans="1:25" x14ac:dyDescent="0.2">
      <c r="A30" s="185"/>
      <c r="B30" s="273">
        <v>6</v>
      </c>
      <c r="C30" s="277" t="s">
        <v>149</v>
      </c>
      <c r="D30" s="278">
        <v>57</v>
      </c>
      <c r="E30" s="279" t="s">
        <v>150</v>
      </c>
      <c r="F30" s="266"/>
      <c r="G30" s="266"/>
      <c r="H30" s="266"/>
      <c r="I30" s="266"/>
      <c r="J30" s="266"/>
      <c r="K30" s="266"/>
      <c r="L30" s="266"/>
      <c r="M30" s="266"/>
      <c r="N30" s="266"/>
      <c r="O30" s="266"/>
      <c r="P30" s="266"/>
      <c r="Q30" s="266"/>
      <c r="R30" s="266"/>
      <c r="S30" s="266"/>
      <c r="T30" s="266"/>
      <c r="U30" s="266"/>
      <c r="V30" s="266"/>
      <c r="W30" s="266"/>
      <c r="X30" s="266"/>
      <c r="Y30" s="185"/>
    </row>
    <row r="31" spans="1:25" x14ac:dyDescent="0.2">
      <c r="A31" s="185"/>
      <c r="B31" s="273">
        <v>7</v>
      </c>
      <c r="C31" s="277" t="s">
        <v>66</v>
      </c>
      <c r="D31" s="278">
        <v>37</v>
      </c>
      <c r="E31" s="279" t="s">
        <v>156</v>
      </c>
      <c r="F31" s="266"/>
      <c r="G31" s="266"/>
      <c r="H31" s="266"/>
      <c r="I31" s="266"/>
      <c r="J31" s="266"/>
      <c r="K31" s="266"/>
      <c r="L31" s="266"/>
      <c r="M31" s="266"/>
      <c r="N31" s="266"/>
      <c r="O31" s="266"/>
      <c r="P31" s="266"/>
      <c r="Q31" s="266"/>
      <c r="R31" s="266"/>
      <c r="S31" s="266"/>
      <c r="T31" s="266"/>
      <c r="U31" s="266"/>
      <c r="V31" s="266"/>
      <c r="W31" s="266"/>
      <c r="X31" s="266"/>
      <c r="Y31" s="185"/>
    </row>
    <row r="32" spans="1:25" x14ac:dyDescent="0.2">
      <c r="A32" s="185"/>
      <c r="B32" s="273">
        <v>8</v>
      </c>
      <c r="C32" s="277" t="s">
        <v>67</v>
      </c>
      <c r="D32" s="278">
        <v>38</v>
      </c>
      <c r="E32" s="279" t="s">
        <v>156</v>
      </c>
      <c r="F32" s="266"/>
      <c r="G32" s="266"/>
      <c r="H32" s="266"/>
      <c r="I32" s="266"/>
      <c r="J32" s="266"/>
      <c r="K32" s="266"/>
      <c r="L32" s="266"/>
      <c r="M32" s="266"/>
      <c r="N32" s="266"/>
      <c r="O32" s="266"/>
      <c r="P32" s="266"/>
      <c r="Q32" s="266"/>
      <c r="R32" s="266"/>
      <c r="S32" s="266"/>
      <c r="T32" s="266"/>
      <c r="U32" s="266"/>
      <c r="V32" s="266"/>
      <c r="W32" s="266"/>
      <c r="X32" s="266"/>
      <c r="Y32" s="185"/>
    </row>
    <row r="33" spans="1:25" x14ac:dyDescent="0.2">
      <c r="A33" s="185"/>
      <c r="B33" s="273">
        <v>9</v>
      </c>
      <c r="C33" s="269" t="s">
        <v>160</v>
      </c>
      <c r="D33" s="278">
        <v>23</v>
      </c>
      <c r="E33" s="279" t="s">
        <v>159</v>
      </c>
      <c r="F33" s="266"/>
      <c r="G33" s="266"/>
      <c r="H33" s="266"/>
      <c r="I33" s="266"/>
      <c r="J33" s="266"/>
      <c r="K33" s="266"/>
      <c r="L33" s="266"/>
      <c r="M33" s="266"/>
      <c r="N33" s="266"/>
      <c r="O33" s="266"/>
      <c r="P33" s="266"/>
      <c r="Q33" s="266"/>
      <c r="R33" s="266"/>
      <c r="S33" s="266"/>
      <c r="T33" s="266"/>
      <c r="U33" s="266"/>
      <c r="V33" s="266"/>
      <c r="W33" s="266"/>
      <c r="X33" s="266"/>
      <c r="Y33" s="185"/>
    </row>
    <row r="34" spans="1:25" x14ac:dyDescent="0.2">
      <c r="A34" s="185"/>
      <c r="B34" s="273">
        <v>10</v>
      </c>
      <c r="C34" s="281" t="s">
        <v>40</v>
      </c>
      <c r="D34" s="278">
        <v>27</v>
      </c>
      <c r="E34" s="279" t="s">
        <v>159</v>
      </c>
      <c r="F34" s="266"/>
      <c r="G34" s="266"/>
      <c r="H34" s="266"/>
      <c r="I34" s="266"/>
      <c r="J34" s="266"/>
      <c r="K34" s="266"/>
      <c r="L34" s="266"/>
      <c r="M34" s="266"/>
      <c r="N34" s="266"/>
      <c r="O34" s="266"/>
      <c r="P34" s="266"/>
      <c r="Q34" s="266"/>
      <c r="R34" s="266"/>
      <c r="S34" s="266"/>
      <c r="T34" s="266"/>
      <c r="U34" s="266"/>
      <c r="V34" s="266"/>
      <c r="W34" s="266"/>
      <c r="X34" s="266"/>
      <c r="Y34" s="185"/>
    </row>
    <row r="35" spans="1:25" x14ac:dyDescent="0.2">
      <c r="A35" s="185"/>
      <c r="B35" s="273"/>
      <c r="C35" s="271" t="s">
        <v>165</v>
      </c>
      <c r="D35" s="271"/>
      <c r="E35" s="275">
        <f>F35-1</f>
        <v>-1</v>
      </c>
      <c r="F35" s="284"/>
      <c r="G35" s="185"/>
      <c r="H35" s="185"/>
      <c r="I35" s="185"/>
      <c r="J35" s="185"/>
      <c r="K35" s="185"/>
      <c r="L35" s="185"/>
      <c r="M35" s="185"/>
      <c r="N35" s="185"/>
      <c r="O35" s="185"/>
      <c r="P35" s="185"/>
      <c r="Q35" s="185"/>
      <c r="R35" s="185"/>
      <c r="S35" s="185"/>
      <c r="T35" s="185"/>
      <c r="U35" s="185"/>
      <c r="V35" s="185"/>
      <c r="W35" s="185"/>
      <c r="X35" s="185"/>
      <c r="Y35" s="185"/>
    </row>
    <row r="36" spans="1:25" x14ac:dyDescent="0.2">
      <c r="A36" s="185"/>
      <c r="B36" s="273">
        <v>11</v>
      </c>
      <c r="C36" s="277" t="s">
        <v>166</v>
      </c>
      <c r="D36" s="290" t="s">
        <v>170</v>
      </c>
      <c r="E36" s="279" t="s">
        <v>156</v>
      </c>
      <c r="F36" s="266"/>
      <c r="G36" s="297"/>
      <c r="H36" s="286"/>
      <c r="I36" s="287"/>
      <c r="J36" s="287"/>
      <c r="K36" s="286"/>
      <c r="L36" s="287"/>
      <c r="M36" s="286"/>
      <c r="N36" s="286"/>
      <c r="O36" s="287"/>
      <c r="P36" s="287"/>
      <c r="Q36" s="286"/>
      <c r="R36" s="287"/>
      <c r="S36" s="286"/>
      <c r="T36" s="291"/>
      <c r="U36" s="87"/>
      <c r="V36" s="298"/>
      <c r="W36" s="299"/>
      <c r="X36" s="298"/>
      <c r="Y36" s="87"/>
    </row>
    <row r="37" spans="1:25" x14ac:dyDescent="0.2">
      <c r="A37" s="185"/>
      <c r="B37" s="267"/>
      <c r="C37" s="288"/>
      <c r="D37" s="288"/>
      <c r="E37" s="288"/>
      <c r="F37" s="288"/>
      <c r="G37" s="288"/>
      <c r="H37" s="288"/>
      <c r="I37" s="288"/>
      <c r="J37" s="288"/>
      <c r="K37" s="185"/>
      <c r="L37" s="185"/>
      <c r="M37" s="185"/>
      <c r="N37" s="185"/>
      <c r="O37" s="185"/>
      <c r="P37" s="185"/>
      <c r="Q37" s="297"/>
      <c r="R37" s="297"/>
      <c r="S37" s="297"/>
      <c r="T37" s="297"/>
      <c r="U37" s="297"/>
      <c r="V37" s="297"/>
      <c r="W37" s="185"/>
      <c r="X37" s="185"/>
      <c r="Y37" s="185"/>
    </row>
    <row r="38" spans="1:25" x14ac:dyDescent="0.2">
      <c r="A38" s="185"/>
      <c r="B38" s="289"/>
      <c r="C38" s="271" t="s">
        <v>167</v>
      </c>
      <c r="D38" s="272"/>
      <c r="E38" s="272"/>
      <c r="F38" s="283"/>
      <c r="G38" s="185"/>
      <c r="H38" s="185"/>
      <c r="I38" s="185"/>
      <c r="J38" s="185"/>
      <c r="K38" s="185"/>
      <c r="L38" s="185"/>
      <c r="M38" s="185"/>
      <c r="N38" s="185"/>
      <c r="O38" s="185"/>
      <c r="P38" s="185"/>
      <c r="Q38" s="185"/>
      <c r="R38" s="185"/>
      <c r="S38" s="185"/>
      <c r="T38" s="185"/>
      <c r="U38" s="185"/>
      <c r="V38" s="185"/>
      <c r="W38" s="185"/>
      <c r="X38" s="185"/>
      <c r="Y38" s="185"/>
    </row>
    <row r="39" spans="1:25" x14ac:dyDescent="0.2">
      <c r="A39" s="185"/>
      <c r="B39" s="267"/>
      <c r="C39" s="288"/>
      <c r="D39" s="288"/>
      <c r="E39" s="288"/>
      <c r="F39" s="288"/>
      <c r="G39" s="288"/>
      <c r="H39" s="288"/>
      <c r="I39" s="288"/>
      <c r="J39" s="288"/>
      <c r="K39" s="185"/>
      <c r="L39" s="185"/>
      <c r="M39" s="185"/>
      <c r="N39" s="185"/>
      <c r="O39" s="185"/>
      <c r="P39" s="185"/>
      <c r="Q39" s="185"/>
      <c r="R39" s="185"/>
      <c r="S39" s="185"/>
      <c r="T39" s="185"/>
      <c r="U39" s="185"/>
      <c r="V39" s="185"/>
      <c r="W39" s="185"/>
      <c r="X39" s="185"/>
      <c r="Y39" s="185"/>
    </row>
    <row r="40" spans="1:25" x14ac:dyDescent="0.2">
      <c r="A40" s="185"/>
      <c r="B40" s="273"/>
      <c r="C40" s="271"/>
      <c r="D40" s="271"/>
      <c r="E40" s="276"/>
      <c r="F40" s="276">
        <f>'Input data'!$C$5-1</f>
        <v>2023</v>
      </c>
      <c r="G40" s="276">
        <f>F40+1</f>
        <v>2024</v>
      </c>
      <c r="H40" s="276">
        <f t="shared" ref="H40:X40" si="1">G40+1</f>
        <v>2025</v>
      </c>
      <c r="I40" s="276">
        <f t="shared" si="1"/>
        <v>2026</v>
      </c>
      <c r="J40" s="276">
        <f t="shared" si="1"/>
        <v>2027</v>
      </c>
      <c r="K40" s="276">
        <f t="shared" si="1"/>
        <v>2028</v>
      </c>
      <c r="L40" s="276">
        <f t="shared" si="1"/>
        <v>2029</v>
      </c>
      <c r="M40" s="276">
        <f t="shared" si="1"/>
        <v>2030</v>
      </c>
      <c r="N40" s="276">
        <f t="shared" si="1"/>
        <v>2031</v>
      </c>
      <c r="O40" s="276">
        <f t="shared" si="1"/>
        <v>2032</v>
      </c>
      <c r="P40" s="276">
        <f t="shared" si="1"/>
        <v>2033</v>
      </c>
      <c r="Q40" s="276">
        <f t="shared" si="1"/>
        <v>2034</v>
      </c>
      <c r="R40" s="276">
        <f t="shared" si="1"/>
        <v>2035</v>
      </c>
      <c r="S40" s="276">
        <f t="shared" si="1"/>
        <v>2036</v>
      </c>
      <c r="T40" s="276">
        <f t="shared" si="1"/>
        <v>2037</v>
      </c>
      <c r="U40" s="276">
        <f t="shared" si="1"/>
        <v>2038</v>
      </c>
      <c r="V40" s="276">
        <f t="shared" si="1"/>
        <v>2039</v>
      </c>
      <c r="W40" s="276">
        <f t="shared" si="1"/>
        <v>2040</v>
      </c>
      <c r="X40" s="276">
        <f t="shared" si="1"/>
        <v>2041</v>
      </c>
      <c r="Y40" s="185"/>
    </row>
    <row r="41" spans="1:25" x14ac:dyDescent="0.2">
      <c r="A41" s="185"/>
      <c r="B41" s="273">
        <v>1</v>
      </c>
      <c r="C41" s="277" t="s">
        <v>149</v>
      </c>
      <c r="D41" s="278">
        <v>56</v>
      </c>
      <c r="E41" s="279" t="s">
        <v>150</v>
      </c>
      <c r="F41" s="266">
        <f ca="1">INDEX(OFFSET('Baseline NFPC'!$D$1:$W$1,$D41-1,0),MATCH(F$4,'Baseline NFPC'!$D$10:$W$10,0))</f>
        <v>25.669613830669952</v>
      </c>
      <c r="G41" s="266">
        <f ca="1">INDEX(OFFSET('Baseline NFPC'!$D$1:$W$1,$D41-1,0),MATCH(G$4,'Baseline NFPC'!$D$10:$W$10,0))</f>
        <v>27.071291453606207</v>
      </c>
      <c r="H41" s="266">
        <f ca="1">INDEX(OFFSET('Baseline NFPC'!$D$1:$W$1,$D41-1,0),MATCH(H$4,'Baseline NFPC'!$D$10:$W$10,0))</f>
        <v>28.549965353557539</v>
      </c>
      <c r="I41" s="266">
        <f ca="1">INDEX(OFFSET('Baseline NFPC'!$D$1:$W$1,$D41-1,0),MATCH(I$4,'Baseline NFPC'!$D$10:$W$10,0))</f>
        <v>29.214866161820957</v>
      </c>
      <c r="J41" s="266">
        <f ca="1">INDEX(OFFSET('Baseline NFPC'!$D$1:$W$1,$D41-1,0),MATCH(J$4,'Baseline NFPC'!$D$10:$W$10,0))</f>
        <v>29.090557040818247</v>
      </c>
      <c r="K41" s="266">
        <f ca="1">INDEX(OFFSET('Baseline NFPC'!$D$1:$W$1,$D41-1,0),MATCH(K$4,'Baseline NFPC'!$D$10:$W$10,0))</f>
        <v>28.843880263645335</v>
      </c>
      <c r="L41" s="266">
        <f ca="1">INDEX(OFFSET('Baseline NFPC'!$D$1:$W$1,$D41-1,0),MATCH(L$4,'Baseline NFPC'!$D$10:$W$10,0))</f>
        <v>28.840123264841822</v>
      </c>
      <c r="M41" s="266">
        <f ca="1">INDEX(OFFSET('Baseline NFPC'!$D$1:$W$1,$D41-1,0),MATCH(M$4,'Baseline NFPC'!$D$10:$W$10,0))</f>
        <v>28.898099928521535</v>
      </c>
      <c r="N41" s="266">
        <f ca="1">INDEX(OFFSET('Baseline NFPC'!$D$1:$W$1,$D41-1,0),MATCH(N$4,'Baseline NFPC'!$D$10:$W$10,0))</f>
        <v>29.01952295047035</v>
      </c>
      <c r="O41" s="266">
        <f ca="1">INDEX(OFFSET('Baseline NFPC'!$D$1:$W$1,$D41-1,0),MATCH(O$4,'Baseline NFPC'!$D$10:$W$10,0))</f>
        <v>29.213335431419932</v>
      </c>
      <c r="P41" s="266">
        <f ca="1">INDEX(OFFSET('Baseline NFPC'!$D$1:$W$1,$D41-1,0),MATCH(P$4,'Baseline NFPC'!$D$10:$W$10,0))</f>
        <v>29.448898264047305</v>
      </c>
      <c r="Q41" s="266">
        <f ca="1">INDEX(OFFSET('Baseline NFPC'!$D$1:$W$1,$D41-1,0),MATCH(Q$4,'Baseline NFPC'!$D$10:$W$10,0))</f>
        <v>29.71968661014656</v>
      </c>
      <c r="R41" s="266">
        <f ca="1">INDEX(OFFSET('Baseline NFPC'!$D$1:$W$1,$D41-1,0),MATCH(R$4,'Baseline NFPC'!$D$10:$W$10,0))</f>
        <v>30.014661733113286</v>
      </c>
      <c r="S41" s="266">
        <f ca="1">INDEX(OFFSET('Baseline NFPC'!$D$1:$W$1,$D41-1,0),MATCH(S$4,'Baseline NFPC'!$D$10:$W$10,0))</f>
        <v>30.332316526425384</v>
      </c>
      <c r="T41" s="266">
        <f ca="1">INDEX(OFFSET('Baseline NFPC'!$D$1:$W$1,$D41-1,0),MATCH(T$4,'Baseline NFPC'!$D$10:$W$10,0))</f>
        <v>30.652370179841796</v>
      </c>
      <c r="U41" s="266">
        <f ca="1">INDEX(OFFSET('Baseline NFPC'!$D$1:$W$1,$D41-1,0),MATCH(U$4,'Baseline NFPC'!$D$10:$W$10,0))</f>
        <v>30.973340931056097</v>
      </c>
      <c r="V41" s="266">
        <f ca="1">INDEX(OFFSET('Baseline NFPC'!$D$1:$W$1,$D41-1,0),MATCH(V$4,'Baseline NFPC'!$D$10:$W$10,0))</f>
        <v>31.280790938680987</v>
      </c>
      <c r="W41" s="266">
        <f ca="1">INDEX(OFFSET('Baseline NFPC'!$D$1:$W$1,$D41-1,0),MATCH(W$4,'Baseline NFPC'!$D$10:$W$10,0))</f>
        <v>31.567582676847607</v>
      </c>
      <c r="X41" s="266">
        <f ca="1">INDEX(OFFSET('Baseline NFPC'!$D$1:$W$1,$D41-1,0),MATCH(X$4,'Baseline NFPC'!$D$10:$W$10,0))</f>
        <v>31.873904903424737</v>
      </c>
      <c r="Y41" s="185"/>
    </row>
    <row r="42" spans="1:25" x14ac:dyDescent="0.2">
      <c r="A42" s="185"/>
      <c r="B42" s="273">
        <v>2</v>
      </c>
      <c r="C42" s="277" t="s">
        <v>151</v>
      </c>
      <c r="D42" s="278">
        <v>76</v>
      </c>
      <c r="E42" s="279" t="s">
        <v>150</v>
      </c>
      <c r="F42" s="266">
        <f ca="1">INDEX(OFFSET('Baseline NFPC'!$D$1:$W$1,$D42-1,0),MATCH(F$4,'Baseline NFPC'!$D$10:$W$10,0))</f>
        <v>-1.251991028277976</v>
      </c>
      <c r="G42" s="266">
        <f ca="1">INDEX(OFFSET('Baseline NFPC'!$D$1:$W$1,$D42-1,0),MATCH(G$4,'Baseline NFPC'!$D$10:$W$10,0))</f>
        <v>-1.6989409359348564</v>
      </c>
      <c r="H42" s="266">
        <f ca="1">INDEX(OFFSET('Baseline NFPC'!$D$1:$W$1,$D42-1,0),MATCH(H$4,'Baseline NFPC'!$D$10:$W$10,0))</f>
        <v>-1.5957905729548059</v>
      </c>
      <c r="I42" s="266">
        <f ca="1">INDEX(OFFSET('Baseline NFPC'!$D$1:$W$1,$D42-1,0),MATCH(I$4,'Baseline NFPC'!$D$10:$W$10,0))</f>
        <v>-1.1398273891149047</v>
      </c>
      <c r="J42" s="266">
        <f ca="1">INDEX(OFFSET('Baseline NFPC'!$D$1:$W$1,$D42-1,0),MATCH(J$4,'Baseline NFPC'!$D$10:$W$10,0))</f>
        <v>-0.584437668014125</v>
      </c>
      <c r="K42" s="266">
        <f ca="1">INDEX(OFFSET('Baseline NFPC'!$D$1:$W$1,$D42-1,0),MATCH(K$4,'Baseline NFPC'!$D$10:$W$10,0))</f>
        <v>-0.40206978340719413</v>
      </c>
      <c r="L42" s="266">
        <f ca="1">INDEX(OFFSET('Baseline NFPC'!$D$1:$W$1,$D42-1,0),MATCH(L$4,'Baseline NFPC'!$D$10:$W$10,0))</f>
        <v>-0.56865013230335537</v>
      </c>
      <c r="M42" s="266">
        <f ca="1">INDEX(OFFSET('Baseline NFPC'!$D$1:$W$1,$D42-1,0),MATCH(M$4,'Baseline NFPC'!$D$10:$W$10,0))</f>
        <v>-0.77827745496251821</v>
      </c>
      <c r="N42" s="266">
        <f ca="1">INDEX(OFFSET('Baseline NFPC'!$D$1:$W$1,$D42-1,0),MATCH(N$4,'Baseline NFPC'!$D$10:$W$10,0))</f>
        <v>-0.99327314266266653</v>
      </c>
      <c r="O42" s="266">
        <f ca="1">INDEX(OFFSET('Baseline NFPC'!$D$1:$W$1,$D42-1,0),MATCH(O$4,'Baseline NFPC'!$D$10:$W$10,0))</f>
        <v>-1.2209348954868617</v>
      </c>
      <c r="P42" s="266">
        <f ca="1">INDEX(OFFSET('Baseline NFPC'!$D$1:$W$1,$D42-1,0),MATCH(P$4,'Baseline NFPC'!$D$10:$W$10,0))</f>
        <v>-1.4463890777492692</v>
      </c>
      <c r="Q42" s="266">
        <f ca="1">INDEX(OFFSET('Baseline NFPC'!$D$1:$W$1,$D42-1,0),MATCH(Q$4,'Baseline NFPC'!$D$10:$W$10,0))</f>
        <v>-1.6748461776927517</v>
      </c>
      <c r="R42" s="266">
        <f ca="1">INDEX(OFFSET('Baseline NFPC'!$D$1:$W$1,$D42-1,0),MATCH(R$4,'Baseline NFPC'!$D$10:$W$10,0))</f>
        <v>-1.8810588671894473</v>
      </c>
      <c r="S42" s="266">
        <f ca="1">INDEX(OFFSET('Baseline NFPC'!$D$1:$W$1,$D42-1,0),MATCH(S$4,'Baseline NFPC'!$D$10:$W$10,0))</f>
        <v>-2.0790282438242467</v>
      </c>
      <c r="T42" s="266">
        <f ca="1">INDEX(OFFSET('Baseline NFPC'!$D$1:$W$1,$D42-1,0),MATCH(T$4,'Baseline NFPC'!$D$10:$W$10,0))</f>
        <v>-2.276501921213899</v>
      </c>
      <c r="U42" s="266">
        <f ca="1">INDEX(OFFSET('Baseline NFPC'!$D$1:$W$1,$D42-1,0),MATCH(U$4,'Baseline NFPC'!$D$10:$W$10,0))</f>
        <v>-2.4704442099157919</v>
      </c>
      <c r="V42" s="266">
        <f ca="1">INDEX(OFFSET('Baseline NFPC'!$D$1:$W$1,$D42-1,0),MATCH(V$4,'Baseline NFPC'!$D$10:$W$10,0))</f>
        <v>-2.652603838521153</v>
      </c>
      <c r="W42" s="266">
        <f ca="1">INDEX(OFFSET('Baseline NFPC'!$D$1:$W$1,$D42-1,0),MATCH(W$4,'Baseline NFPC'!$D$10:$W$10,0))</f>
        <v>-2.8251834871386921</v>
      </c>
      <c r="X42" s="266">
        <f ca="1">INDEX(OFFSET('Baseline NFPC'!$D$1:$W$1,$D42-1,0),MATCH(X$4,'Baseline NFPC'!$D$10:$W$10,0))</f>
        <v>-3.0083957901997023</v>
      </c>
      <c r="Y42" s="185"/>
    </row>
    <row r="43" spans="1:25" x14ac:dyDescent="0.2">
      <c r="A43" s="185"/>
      <c r="B43" s="273">
        <v>3</v>
      </c>
      <c r="C43" s="277" t="s">
        <v>18</v>
      </c>
      <c r="D43" s="278">
        <v>12</v>
      </c>
      <c r="E43" s="279" t="s">
        <v>152</v>
      </c>
      <c r="F43" s="266">
        <f ca="1">INDEX(OFFSET('Baseline NFPC'!$D$1:$W$1,$D43-1,0),MATCH(F$4,'Baseline NFPC'!$D$10:$W$10,0))</f>
        <v>0.28953679999999998</v>
      </c>
      <c r="G43" s="266">
        <f ca="1">INDEX(OFFSET('Baseline NFPC'!$D$1:$W$1,$D43-1,0),MATCH(G$4,'Baseline NFPC'!$D$10:$W$10,0))</f>
        <v>9.7703100000000001E-2</v>
      </c>
      <c r="H43" s="266">
        <f ca="1">INDEX(OFFSET('Baseline NFPC'!$D$1:$W$1,$D43-1,0),MATCH(H$4,'Baseline NFPC'!$D$10:$W$10,0))</f>
        <v>9.7703100000000001E-2</v>
      </c>
      <c r="I43" s="266">
        <f ca="1">INDEX(OFFSET('Baseline NFPC'!$D$1:$W$1,$D43-1,0),MATCH(I$4,'Baseline NFPC'!$D$10:$W$10,0))</f>
        <v>9.7703100000000001E-2</v>
      </c>
      <c r="J43" s="266">
        <f ca="1">INDEX(OFFSET('Baseline NFPC'!$D$1:$W$1,$D43-1,0),MATCH(J$4,'Baseline NFPC'!$D$10:$W$10,0))</f>
        <v>9.7703100000000001E-2</v>
      </c>
      <c r="K43" s="266">
        <f ca="1">INDEX(OFFSET('Baseline NFPC'!$D$1:$W$1,$D43-1,0),MATCH(K$4,'Baseline NFPC'!$D$10:$W$10,0))</f>
        <v>9.7703100000000001E-2</v>
      </c>
      <c r="L43" s="266">
        <f ca="1">INDEX(OFFSET('Baseline NFPC'!$D$1:$W$1,$D43-1,0),MATCH(L$4,'Baseline NFPC'!$D$10:$W$10,0))</f>
        <v>9.7703100000000001E-2</v>
      </c>
      <c r="M43" s="266">
        <f ca="1">INDEX(OFFSET('Baseline NFPC'!$D$1:$W$1,$D43-1,0),MATCH(M$4,'Baseline NFPC'!$D$10:$W$10,0))</f>
        <v>9.7703100000000001E-2</v>
      </c>
      <c r="N43" s="266">
        <f ca="1">INDEX(OFFSET('Baseline NFPC'!$D$1:$W$1,$D43-1,0),MATCH(N$4,'Baseline NFPC'!$D$10:$W$10,0))</f>
        <v>9.7703100000000001E-2</v>
      </c>
      <c r="O43" s="266">
        <f ca="1">INDEX(OFFSET('Baseline NFPC'!$D$1:$W$1,$D43-1,0),MATCH(O$4,'Baseline NFPC'!$D$10:$W$10,0))</f>
        <v>9.7703100000000001E-2</v>
      </c>
      <c r="P43" s="266">
        <f ca="1">INDEX(OFFSET('Baseline NFPC'!$D$1:$W$1,$D43-1,0),MATCH(P$4,'Baseline NFPC'!$D$10:$W$10,0))</f>
        <v>9.7703100000000001E-2</v>
      </c>
      <c r="Q43" s="266">
        <f ca="1">INDEX(OFFSET('Baseline NFPC'!$D$1:$W$1,$D43-1,0),MATCH(Q$4,'Baseline NFPC'!$D$10:$W$10,0))</f>
        <v>9.7703100000000001E-2</v>
      </c>
      <c r="R43" s="266">
        <f ca="1">INDEX(OFFSET('Baseline NFPC'!$D$1:$W$1,$D43-1,0),MATCH(R$4,'Baseline NFPC'!$D$10:$W$10,0))</f>
        <v>9.7703100000000001E-2</v>
      </c>
      <c r="S43" s="266">
        <f ca="1">INDEX(OFFSET('Baseline NFPC'!$D$1:$W$1,$D43-1,0),MATCH(S$4,'Baseline NFPC'!$D$10:$W$10,0))</f>
        <v>9.7703100000000001E-2</v>
      </c>
      <c r="T43" s="266">
        <f ca="1">INDEX(OFFSET('Baseline NFPC'!$D$1:$W$1,$D43-1,0),MATCH(T$4,'Baseline NFPC'!$D$10:$W$10,0))</f>
        <v>9.7703100000000001E-2</v>
      </c>
      <c r="U43" s="266">
        <f ca="1">INDEX(OFFSET('Baseline NFPC'!$D$1:$W$1,$D43-1,0),MATCH(U$4,'Baseline NFPC'!$D$10:$W$10,0))</f>
        <v>9.7703100000000001E-2</v>
      </c>
      <c r="V43" s="266">
        <f ca="1">INDEX(OFFSET('Baseline NFPC'!$D$1:$W$1,$D43-1,0),MATCH(V$4,'Baseline NFPC'!$D$10:$W$10,0))</f>
        <v>9.7703100000000001E-2</v>
      </c>
      <c r="W43" s="266">
        <f ca="1">INDEX(OFFSET('Baseline NFPC'!$D$1:$W$1,$D43-1,0),MATCH(W$4,'Baseline NFPC'!$D$10:$W$10,0))</f>
        <v>9.7703100000000001E-2</v>
      </c>
      <c r="X43" s="266">
        <f ca="1">INDEX(OFFSET('Baseline NFPC'!$D$1:$W$1,$D43-1,0),MATCH(X$4,'Baseline NFPC'!$D$10:$W$10,0))</f>
        <v>9.7703100000000001E-2</v>
      </c>
      <c r="Y43" s="185"/>
    </row>
    <row r="44" spans="1:25" x14ac:dyDescent="0.2">
      <c r="A44" s="185"/>
      <c r="B44" s="273">
        <v>4</v>
      </c>
      <c r="C44" s="277" t="s">
        <v>153</v>
      </c>
      <c r="D44" s="278">
        <v>61</v>
      </c>
      <c r="E44" s="279" t="s">
        <v>152</v>
      </c>
      <c r="F44" s="266">
        <f ca="1">INDEX(OFFSET('Baseline NFPC'!$D$1:$W$1,$D44-1,0),MATCH(F$4,'Baseline NFPC'!$D$10:$W$10,0))</f>
        <v>1.2392569729978491</v>
      </c>
      <c r="G44" s="266">
        <f ca="1">INDEX(OFFSET('Baseline NFPC'!$D$1:$W$1,$D44-1,0),MATCH(G$4,'Baseline NFPC'!$D$10:$W$10,0))</f>
        <v>1.424887922936255</v>
      </c>
      <c r="H44" s="266">
        <f ca="1">INDEX(OFFSET('Baseline NFPC'!$D$1:$W$1,$D44-1,0),MATCH(H$4,'Baseline NFPC'!$D$10:$W$10,0))</f>
        <v>1.3379586999513335</v>
      </c>
      <c r="I44" s="266">
        <f ca="1">INDEX(OFFSET('Baseline NFPC'!$D$1:$W$1,$D44-1,0),MATCH(I$4,'Baseline NFPC'!$D$10:$W$10,0))</f>
        <v>0.89197604701359012</v>
      </c>
      <c r="J44" s="266">
        <f ca="1">INDEX(OFFSET('Baseline NFPC'!$D$1:$W$1,$D44-1,0),MATCH(J$4,'Baseline NFPC'!$D$10:$W$10,0))</f>
        <v>0.29732456659229989</v>
      </c>
      <c r="K44" s="266">
        <f ca="1">INDEX(OFFSET('Baseline NFPC'!$D$1:$W$1,$D44-1,0),MATCH(K$4,'Baseline NFPC'!$D$10:$W$10,0))</f>
        <v>-9.9120403245223083E-7</v>
      </c>
      <c r="L44" s="266">
        <f ca="1">INDEX(OFFSET('Baseline NFPC'!$D$1:$W$1,$D44-1,0),MATCH(L$4,'Baseline NFPC'!$D$10:$W$10,0))</f>
        <v>1.2764345785010179E-6</v>
      </c>
      <c r="M44" s="266">
        <f ca="1">INDEX(OFFSET('Baseline NFPC'!$D$1:$W$1,$D44-1,0),MATCH(M$4,'Baseline NFPC'!$D$10:$W$10,0))</f>
        <v>1.7302326696055915E-6</v>
      </c>
      <c r="N44" s="266">
        <f ca="1">INDEX(OFFSET('Baseline NFPC'!$D$1:$W$1,$D44-1,0),MATCH(N$4,'Baseline NFPC'!$D$10:$W$10,0))</f>
        <v>3.092609641908162E-6</v>
      </c>
      <c r="O44" s="266">
        <f ca="1">INDEX(OFFSET('Baseline NFPC'!$D$1:$W$1,$D44-1,0),MATCH(O$4,'Baseline NFPC'!$D$10:$W$10,0))</f>
        <v>2.638150649469928E-6</v>
      </c>
      <c r="P44" s="266">
        <f ca="1">INDEX(OFFSET('Baseline NFPC'!$D$1:$W$1,$D44-1,0),MATCH(P$4,'Baseline NFPC'!$D$10:$W$10,0))</f>
        <v>1.7292017455927678E-6</v>
      </c>
      <c r="Q44" s="266">
        <f ca="1">INDEX(OFFSET('Baseline NFPC'!$D$1:$W$1,$D44-1,0),MATCH(Q$4,'Baseline NFPC'!$D$10:$W$10,0))</f>
        <v>2.1834771013251596E-6</v>
      </c>
      <c r="R44" s="266">
        <f ca="1">INDEX(OFFSET('Baseline NFPC'!$D$1:$W$1,$D44-1,0),MATCH(R$4,'Baseline NFPC'!$D$10:$W$10,0))</f>
        <v>3.0916299435190809E-6</v>
      </c>
      <c r="S44" s="266">
        <f ca="1">INDEX(OFFSET('Baseline NFPC'!$D$1:$W$1,$D44-1,0),MATCH(S$4,'Baseline NFPC'!$D$10:$W$10,0))</f>
        <v>2.6377523031806406E-6</v>
      </c>
      <c r="T44" s="266">
        <f ca="1">INDEX(OFFSET('Baseline NFPC'!$D$1:$W$1,$D44-1,0),MATCH(T$4,'Baseline NFPC'!$D$10:$W$10,0))</f>
        <v>3.9982328348786565E-6</v>
      </c>
      <c r="U44" s="266">
        <f ca="1">INDEX(OFFSET('Baseline NFPC'!$D$1:$W$1,$D44-1,0),MATCH(U$4,'Baseline NFPC'!$D$10:$W$10,0))</f>
        <v>4.9041906383218146E-6</v>
      </c>
      <c r="V44" s="266">
        <f ca="1">INDEX(OFFSET('Baseline NFPC'!$D$1:$W$1,$D44-1,0),MATCH(V$4,'Baseline NFPC'!$D$10:$W$10,0))</f>
        <v>4.4518204428856125E-6</v>
      </c>
      <c r="W44" s="266">
        <f ca="1">INDEX(OFFSET('Baseline NFPC'!$D$1:$W$1,$D44-1,0),MATCH(W$4,'Baseline NFPC'!$D$10:$W$10,0))</f>
        <v>2.6444708461026424E-6</v>
      </c>
      <c r="X44" s="266">
        <f ca="1">INDEX(OFFSET('Baseline NFPC'!$D$1:$W$1,$D44-1,0),MATCH(X$4,'Baseline NFPC'!$D$10:$W$10,0))</f>
        <v>1.7405961205696485E-6</v>
      </c>
      <c r="Y44" s="185"/>
    </row>
    <row r="45" spans="1:25" x14ac:dyDescent="0.2">
      <c r="A45" s="185"/>
      <c r="B45" s="273">
        <v>5</v>
      </c>
      <c r="C45" s="277" t="s">
        <v>155</v>
      </c>
      <c r="D45" s="278">
        <v>67</v>
      </c>
      <c r="E45" s="279" t="s">
        <v>150</v>
      </c>
      <c r="F45" s="266">
        <f ca="1">INDEX(OFFSET('Baseline NFPC'!$D$1:$W$1,$D45-1,0),MATCH(F$4,'Baseline NFPC'!$D$10:$W$10,0))</f>
        <v>0.30227085528012698</v>
      </c>
      <c r="G45" s="266">
        <f ca="1">INDEX(OFFSET('Baseline NFPC'!$D$1:$W$1,$D45-1,0),MATCH(G$4,'Baseline NFPC'!$D$10:$W$10,0))</f>
        <v>0.37175611299860128</v>
      </c>
      <c r="H45" s="266">
        <f ca="1">INDEX(OFFSET('Baseline NFPC'!$D$1:$W$1,$D45-1,0),MATCH(H$4,'Baseline NFPC'!$D$10:$W$10,0))</f>
        <v>0.43438097300347256</v>
      </c>
      <c r="I45" s="266">
        <f ca="1">INDEX(OFFSET('Baseline NFPC'!$D$1:$W$1,$D45-1,0),MATCH(I$4,'Baseline NFPC'!$D$10:$W$10,0))</f>
        <v>0.48949644210131538</v>
      </c>
      <c r="J45" s="266">
        <f ca="1">INDEX(OFFSET('Baseline NFPC'!$D$1:$W$1,$D45-1,0),MATCH(J$4,'Baseline NFPC'!$D$10:$W$10,0))</f>
        <v>0.52752320142182774</v>
      </c>
      <c r="K45" s="266">
        <f ca="1">INDEX(OFFSET('Baseline NFPC'!$D$1:$W$1,$D45-1,0),MATCH(K$4,'Baseline NFPC'!$D$10:$W$10,0))</f>
        <v>0.5509168746112274</v>
      </c>
      <c r="L45" s="266">
        <f ca="1">INDEX(OFFSET('Baseline NFPC'!$D$1:$W$1,$D45-1,0),MATCH(L$4,'Baseline NFPC'!$D$10:$W$10,0))</f>
        <v>0.57106995586877984</v>
      </c>
      <c r="M45" s="266">
        <f ca="1">INDEX(OFFSET('Baseline NFPC'!$D$1:$W$1,$D45-1,0),MATCH(M$4,'Baseline NFPC'!$D$10:$W$10,0))</f>
        <v>0.59391282472985074</v>
      </c>
      <c r="N45" s="266">
        <f ca="1">INDEX(OFFSET('Baseline NFPC'!$D$1:$W$1,$D45-1,0),MATCH(N$4,'Baseline NFPC'!$D$10:$W$10,0))</f>
        <v>0.61957315005302438</v>
      </c>
      <c r="O45" s="266">
        <f ca="1">INDEX(OFFSET('Baseline NFPC'!$D$1:$W$1,$D45-1,0),MATCH(O$4,'Baseline NFPC'!$D$10:$W$10,0))</f>
        <v>0.64781035733621151</v>
      </c>
      <c r="P45" s="266">
        <f ca="1">INDEX(OFFSET('Baseline NFPC'!$D$1:$W$1,$D45-1,0),MATCH(P$4,'Baseline NFPC'!$D$10:$W$10,0))</f>
        <v>0.67823144854752671</v>
      </c>
      <c r="Q45" s="266">
        <f ca="1">INDEX(OFFSET('Baseline NFPC'!$D$1:$W$1,$D45-1,0),MATCH(Q$4,'Baseline NFPC'!$D$10:$W$10,0))</f>
        <v>0.71003409421565133</v>
      </c>
      <c r="R45" s="266">
        <f ca="1">INDEX(OFFSET('Baseline NFPC'!$D$1:$W$1,$D45-1,0),MATCH(R$4,'Baseline NFPC'!$D$10:$W$10,0))</f>
        <v>0.74153087555950681</v>
      </c>
      <c r="S45" s="266">
        <f ca="1">INDEX(OFFSET('Baseline NFPC'!$D$1:$W$1,$D45-1,0),MATCH(S$4,'Baseline NFPC'!$D$10:$W$10,0))</f>
        <v>0.772566706071942</v>
      </c>
      <c r="T45" s="266">
        <f ca="1">INDEX(OFFSET('Baseline NFPC'!$D$1:$W$1,$D45-1,0),MATCH(T$4,'Baseline NFPC'!$D$10:$W$10,0))</f>
        <v>0.80293502298106756</v>
      </c>
      <c r="U45" s="266">
        <f ca="1">INDEX(OFFSET('Baseline NFPC'!$D$1:$W$1,$D45-1,0),MATCH(U$4,'Baseline NFPC'!$D$10:$W$10,0))</f>
        <v>0.83226140572515317</v>
      </c>
      <c r="V45" s="266">
        <f ca="1">INDEX(OFFSET('Baseline NFPC'!$D$1:$W$1,$D45-1,0),MATCH(V$4,'Baseline NFPC'!$D$10:$W$10,0))</f>
        <v>0.86069748670070967</v>
      </c>
      <c r="W45" s="266">
        <f ca="1">INDEX(OFFSET('Baseline NFPC'!$D$1:$W$1,$D45-1,0),MATCH(W$4,'Baseline NFPC'!$D$10:$W$10,0))</f>
        <v>0.88820494266784777</v>
      </c>
      <c r="X45" s="266">
        <f ca="1">INDEX(OFFSET('Baseline NFPC'!$D$1:$W$1,$D45-1,0),MATCH(X$4,'Baseline NFPC'!$D$10:$W$10,0))</f>
        <v>0.91573314960358254</v>
      </c>
      <c r="Y45" s="185"/>
    </row>
    <row r="46" spans="1:25" x14ac:dyDescent="0.2">
      <c r="A46" s="185"/>
      <c r="B46" s="273">
        <v>6</v>
      </c>
      <c r="C46" s="280" t="s">
        <v>66</v>
      </c>
      <c r="D46" s="278">
        <v>36</v>
      </c>
      <c r="E46" s="279" t="s">
        <v>156</v>
      </c>
      <c r="F46" s="266">
        <f ca="1">INDEX(OFFSET('Baseline NFPC'!$D$1:$W$1,$D46-1,0),MATCH(F$4,'Baseline NFPC'!$D$10:$W$10,0))</f>
        <v>2.97</v>
      </c>
      <c r="G46" s="266">
        <f ca="1">INDEX(OFFSET('Baseline NFPC'!$D$1:$W$1,$D46-1,0),MATCH(G$4,'Baseline NFPC'!$D$10:$W$10,0))</f>
        <v>2.8695020000000002</v>
      </c>
      <c r="H46" s="266">
        <f ca="1">INDEX(OFFSET('Baseline NFPC'!$D$1:$W$1,$D46-1,0),MATCH(H$4,'Baseline NFPC'!$D$10:$W$10,0))</f>
        <v>2.8953579999999999</v>
      </c>
      <c r="I46" s="266">
        <f ca="1">INDEX(OFFSET('Baseline NFPC'!$D$1:$W$1,$D46-1,0),MATCH(I$4,'Baseline NFPC'!$D$10:$W$10,0))</f>
        <v>2.9340169999999999</v>
      </c>
      <c r="J46" s="266">
        <f ca="1">INDEX(OFFSET('Baseline NFPC'!$D$1:$W$1,$D46-1,0),MATCH(J$4,'Baseline NFPC'!$D$10:$W$10,0))</f>
        <v>2.9726759999999999</v>
      </c>
      <c r="K46" s="266">
        <f ca="1">INDEX(OFFSET('Baseline NFPC'!$D$1:$W$1,$D46-1,0),MATCH(K$4,'Baseline NFPC'!$D$10:$W$10,0))</f>
        <v>3.0113349999999999</v>
      </c>
      <c r="L46" s="266">
        <f ca="1">INDEX(OFFSET('Baseline NFPC'!$D$1:$W$1,$D46-1,0),MATCH(L$4,'Baseline NFPC'!$D$10:$W$10,0))</f>
        <v>3.0499939999999999</v>
      </c>
      <c r="M46" s="266">
        <f ca="1">INDEX(OFFSET('Baseline NFPC'!$D$1:$W$1,$D46-1,0),MATCH(M$4,'Baseline NFPC'!$D$10:$W$10,0))</f>
        <v>3.0886529999999999</v>
      </c>
      <c r="N46" s="266">
        <f ca="1">INDEX(OFFSET('Baseline NFPC'!$D$1:$W$1,$D46-1,0),MATCH(N$4,'Baseline NFPC'!$D$10:$W$10,0))</f>
        <v>3.1273119999999999</v>
      </c>
      <c r="O46" s="266">
        <f ca="1">INDEX(OFFSET('Baseline NFPC'!$D$1:$W$1,$D46-1,0),MATCH(O$4,'Baseline NFPC'!$D$10:$W$10,0))</f>
        <v>3.1659709999999999</v>
      </c>
      <c r="P46" s="266">
        <f ca="1">INDEX(OFFSET('Baseline NFPC'!$D$1:$W$1,$D46-1,0),MATCH(P$4,'Baseline NFPC'!$D$10:$W$10,0))</f>
        <v>3.2046299999999999</v>
      </c>
      <c r="Q46" s="266">
        <f ca="1">INDEX(OFFSET('Baseline NFPC'!$D$1:$W$1,$D46-1,0),MATCH(Q$4,'Baseline NFPC'!$D$10:$W$10,0))</f>
        <v>3.2443985</v>
      </c>
      <c r="R46" s="266">
        <f ca="1">INDEX(OFFSET('Baseline NFPC'!$D$1:$W$1,$D46-1,0),MATCH(R$4,'Baseline NFPC'!$D$10:$W$10,0))</f>
        <v>3.2841670000000001</v>
      </c>
      <c r="S46" s="266">
        <f ca="1">INDEX(OFFSET('Baseline NFPC'!$D$1:$W$1,$D46-1,0),MATCH(S$4,'Baseline NFPC'!$D$10:$W$10,0))</f>
        <v>3.3239354999999997</v>
      </c>
      <c r="T46" s="266">
        <f ca="1">INDEX(OFFSET('Baseline NFPC'!$D$1:$W$1,$D46-1,0),MATCH(T$4,'Baseline NFPC'!$D$10:$W$10,0))</f>
        <v>3.3637039999999998</v>
      </c>
      <c r="U46" s="266">
        <f ca="1">INDEX(OFFSET('Baseline NFPC'!$D$1:$W$1,$D46-1,0),MATCH(U$4,'Baseline NFPC'!$D$10:$W$10,0))</f>
        <v>3.4034724999999999</v>
      </c>
      <c r="V46" s="266">
        <f ca="1">INDEX(OFFSET('Baseline NFPC'!$D$1:$W$1,$D46-1,0),MATCH(V$4,'Baseline NFPC'!$D$10:$W$10,0))</f>
        <v>3.443241</v>
      </c>
      <c r="W46" s="266">
        <f ca="1">INDEX(OFFSET('Baseline NFPC'!$D$1:$W$1,$D46-1,0),MATCH(W$4,'Baseline NFPC'!$D$10:$W$10,0))</f>
        <v>3.4830095000000001</v>
      </c>
      <c r="X46" s="266">
        <f ca="1">INDEX(OFFSET('Baseline NFPC'!$D$1:$W$1,$D46-1,0),MATCH(X$4,'Baseline NFPC'!$D$10:$W$10,0))</f>
        <v>3.5227779999999997</v>
      </c>
      <c r="Y46" s="185"/>
    </row>
    <row r="47" spans="1:25" x14ac:dyDescent="0.2">
      <c r="A47" s="185"/>
      <c r="B47" s="273">
        <v>7</v>
      </c>
      <c r="C47" s="280" t="s">
        <v>67</v>
      </c>
      <c r="D47" s="278">
        <v>37</v>
      </c>
      <c r="E47" s="279" t="s">
        <v>156</v>
      </c>
      <c r="F47" s="266">
        <f ca="1">INDEX(OFFSET('Baseline NFPC'!$D$1:$W$1,$D47-1,0),MATCH(F$4,'Baseline NFPC'!$D$10:$W$10,0))</f>
        <v>3.43</v>
      </c>
      <c r="G47" s="266">
        <f ca="1">INDEX(OFFSET('Baseline NFPC'!$D$1:$W$1,$D47-1,0),MATCH(G$4,'Baseline NFPC'!$D$10:$W$10,0))</f>
        <v>3.5642079999999998</v>
      </c>
      <c r="H47" s="266">
        <f ca="1">INDEX(OFFSET('Baseline NFPC'!$D$1:$W$1,$D47-1,0),MATCH(H$4,'Baseline NFPC'!$D$10:$W$10,0))</f>
        <v>2.8163749999999999</v>
      </c>
      <c r="I47" s="266">
        <f ca="1">INDEX(OFFSET('Baseline NFPC'!$D$1:$W$1,$D47-1,0),MATCH(I$4,'Baseline NFPC'!$D$10:$W$10,0))</f>
        <v>2.8050893749999997</v>
      </c>
      <c r="J47" s="266">
        <f ca="1">INDEX(OFFSET('Baseline NFPC'!$D$1:$W$1,$D47-1,0),MATCH(J$4,'Baseline NFPC'!$D$10:$W$10,0))</f>
        <v>2.7938037499999995</v>
      </c>
      <c r="K47" s="266">
        <f ca="1">INDEX(OFFSET('Baseline NFPC'!$D$1:$W$1,$D47-1,0),MATCH(K$4,'Baseline NFPC'!$D$10:$W$10,0))</f>
        <v>2.7825181249999993</v>
      </c>
      <c r="L47" s="266">
        <f ca="1">INDEX(OFFSET('Baseline NFPC'!$D$1:$W$1,$D47-1,0),MATCH(L$4,'Baseline NFPC'!$D$10:$W$10,0))</f>
        <v>2.7712324999999991</v>
      </c>
      <c r="M47" s="266">
        <f ca="1">INDEX(OFFSET('Baseline NFPC'!$D$1:$W$1,$D47-1,0),MATCH(M$4,'Baseline NFPC'!$D$10:$W$10,0))</f>
        <v>2.7599468749999989</v>
      </c>
      <c r="N47" s="266">
        <f ca="1">INDEX(OFFSET('Baseline NFPC'!$D$1:$W$1,$D47-1,0),MATCH(N$4,'Baseline NFPC'!$D$10:$W$10,0))</f>
        <v>2.7486612499999987</v>
      </c>
      <c r="O47" s="266">
        <f ca="1">INDEX(OFFSET('Baseline NFPC'!$D$1:$W$1,$D47-1,0),MATCH(O$4,'Baseline NFPC'!$D$10:$W$10,0))</f>
        <v>2.7373756249999985</v>
      </c>
      <c r="P47" s="266">
        <f ca="1">INDEX(OFFSET('Baseline NFPC'!$D$1:$W$1,$D47-1,0),MATCH(P$4,'Baseline NFPC'!$D$10:$W$10,0))</f>
        <v>2.7260900000000001</v>
      </c>
      <c r="Q47" s="266">
        <f ca="1">INDEX(OFFSET('Baseline NFPC'!$D$1:$W$1,$D47-1,0),MATCH(Q$4,'Baseline NFPC'!$D$10:$W$10,0))</f>
        <v>2.6897855000000002</v>
      </c>
      <c r="R47" s="266">
        <f ca="1">INDEX(OFFSET('Baseline NFPC'!$D$1:$W$1,$D47-1,0),MATCH(R$4,'Baseline NFPC'!$D$10:$W$10,0))</f>
        <v>2.6534810000000002</v>
      </c>
      <c r="S47" s="266">
        <f ca="1">INDEX(OFFSET('Baseline NFPC'!$D$1:$W$1,$D47-1,0),MATCH(S$4,'Baseline NFPC'!$D$10:$W$10,0))</f>
        <v>2.6171765000000002</v>
      </c>
      <c r="T47" s="266">
        <f ca="1">INDEX(OFFSET('Baseline NFPC'!$D$1:$W$1,$D47-1,0),MATCH(T$4,'Baseline NFPC'!$D$10:$W$10,0))</f>
        <v>2.5808720000000003</v>
      </c>
      <c r="U47" s="266">
        <f ca="1">INDEX(OFFSET('Baseline NFPC'!$D$1:$W$1,$D47-1,0),MATCH(U$4,'Baseline NFPC'!$D$10:$W$10,0))</f>
        <v>2.5445675000000003</v>
      </c>
      <c r="V47" s="266">
        <f ca="1">INDEX(OFFSET('Baseline NFPC'!$D$1:$W$1,$D47-1,0),MATCH(V$4,'Baseline NFPC'!$D$10:$W$10,0))</f>
        <v>2.5082629999999999</v>
      </c>
      <c r="W47" s="266">
        <f ca="1">INDEX(OFFSET('Baseline NFPC'!$D$1:$W$1,$D47-1,0),MATCH(W$4,'Baseline NFPC'!$D$10:$W$10,0))</f>
        <v>2.4719584999999999</v>
      </c>
      <c r="X47" s="266">
        <f ca="1">INDEX(OFFSET('Baseline NFPC'!$D$1:$W$1,$D47-1,0),MATCH(X$4,'Baseline NFPC'!$D$10:$W$10,0))</f>
        <v>2.435654</v>
      </c>
      <c r="Y47" s="185"/>
    </row>
    <row r="48" spans="1:25" x14ac:dyDescent="0.2">
      <c r="A48" s="185"/>
      <c r="B48" s="273">
        <v>8</v>
      </c>
      <c r="C48" s="277" t="s">
        <v>157</v>
      </c>
      <c r="D48" s="278">
        <v>35</v>
      </c>
      <c r="E48" s="279" t="s">
        <v>156</v>
      </c>
      <c r="F48" s="266">
        <f ca="1">INDEX(OFFSET('Baseline NFPC'!$D$1:$W$1,$D48-1,0),MATCH(F$4,'Baseline NFPC'!$D$10:$W$10,0))</f>
        <v>1.2501800000000001</v>
      </c>
      <c r="G48" s="266">
        <f ca="1">INDEX(OFFSET('Baseline NFPC'!$D$1:$W$1,$D48-1,0),MATCH(G$4,'Baseline NFPC'!$D$10:$W$10,0))</f>
        <v>1.5276190000000001</v>
      </c>
      <c r="H48" s="266">
        <f ca="1">INDEX(OFFSET('Baseline NFPC'!$D$1:$W$1,$D48-1,0),MATCH(H$4,'Baseline NFPC'!$D$10:$W$10,0))</f>
        <v>1.6779250000000001</v>
      </c>
      <c r="I48" s="266">
        <f ca="1">INDEX(OFFSET('Baseline NFPC'!$D$1:$W$1,$D48-1,0),MATCH(I$4,'Baseline NFPC'!$D$10:$W$10,0))</f>
        <v>1.8083152228165538</v>
      </c>
      <c r="J48" s="266">
        <f ca="1">INDEX(OFFSET('Baseline NFPC'!$D$1:$W$1,$D48-1,0),MATCH(J$4,'Baseline NFPC'!$D$10:$W$10,0))</f>
        <v>1.9111785380966653</v>
      </c>
      <c r="K48" s="266">
        <f ca="1">INDEX(OFFSET('Baseline NFPC'!$D$1:$W$1,$D48-1,0),MATCH(K$4,'Baseline NFPC'!$D$10:$W$10,0))</f>
        <v>1.9923754103450946</v>
      </c>
      <c r="L48" s="266">
        <f ca="1">INDEX(OFFSET('Baseline NFPC'!$D$1:$W$1,$D48-1,0),MATCH(L$4,'Baseline NFPC'!$D$10:$W$10,0))</f>
        <v>2.0681316549813973</v>
      </c>
      <c r="M48" s="266">
        <f ca="1">INDEX(OFFSET('Baseline NFPC'!$D$1:$W$1,$D48-1,0),MATCH(M$4,'Baseline NFPC'!$D$10:$W$10,0))</f>
        <v>2.1498943367246941</v>
      </c>
      <c r="N48" s="266">
        <f ca="1">INDEX(OFFSET('Baseline NFPC'!$D$1:$W$1,$D48-1,0),MATCH(N$4,'Baseline NFPC'!$D$10:$W$10,0))</f>
        <v>2.2367078108477521</v>
      </c>
      <c r="O48" s="266">
        <f ca="1">INDEX(OFFSET('Baseline NFPC'!$D$1:$W$1,$D48-1,0),MATCH(O$4,'Baseline NFPC'!$D$10:$W$10,0))</f>
        <v>2.327194736861939</v>
      </c>
      <c r="P48" s="266">
        <f ca="1">INDEX(OFFSET('Baseline NFPC'!$D$1:$W$1,$D48-1,0),MATCH(P$4,'Baseline NFPC'!$D$10:$W$10,0))</f>
        <v>2.4202761752468058</v>
      </c>
      <c r="Q48" s="266">
        <f ca="1">INDEX(OFFSET('Baseline NFPC'!$D$1:$W$1,$D48-1,0),MATCH(Q$4,'Baseline NFPC'!$D$10:$W$10,0))</f>
        <v>2.5139238347740496</v>
      </c>
      <c r="R48" s="266">
        <f ca="1">INDEX(OFFSET('Baseline NFPC'!$D$1:$W$1,$D48-1,0),MATCH(R$4,'Baseline NFPC'!$D$10:$W$10,0))</f>
        <v>2.6019604576591382</v>
      </c>
      <c r="S48" s="266">
        <f ca="1">INDEX(OFFSET('Baseline NFPC'!$D$1:$W$1,$D48-1,0),MATCH(S$4,'Baseline NFPC'!$D$10:$W$10,0))</f>
        <v>2.6846756973689003</v>
      </c>
      <c r="T48" s="266">
        <f ca="1">INDEX(OFFSET('Baseline NFPC'!$D$1:$W$1,$D48-1,0),MATCH(T$4,'Baseline NFPC'!$D$10:$W$10,0))</f>
        <v>2.7625824563807075</v>
      </c>
      <c r="U48" s="266">
        <f ca="1">INDEX(OFFSET('Baseline NFPC'!$D$1:$W$1,$D48-1,0),MATCH(U$4,'Baseline NFPC'!$D$10:$W$10,0))</f>
        <v>2.8360417474672666</v>
      </c>
      <c r="V48" s="266">
        <f ca="1">INDEX(OFFSET('Baseline NFPC'!$D$1:$W$1,$D48-1,0),MATCH(V$4,'Baseline NFPC'!$D$10:$W$10,0))</f>
        <v>2.9056732089620949</v>
      </c>
      <c r="W48" s="266">
        <f ca="1">INDEX(OFFSET('Baseline NFPC'!$D$1:$W$1,$D48-1,0),MATCH(W$4,'Baseline NFPC'!$D$10:$W$10,0))</f>
        <v>2.9717680162522848</v>
      </c>
      <c r="X48" s="266">
        <f ca="1">INDEX(OFFSET('Baseline NFPC'!$D$1:$W$1,$D48-1,0),MATCH(X$4,'Baseline NFPC'!$D$10:$W$10,0))</f>
        <v>3.0345499896351593</v>
      </c>
      <c r="Y48" s="185"/>
    </row>
    <row r="49" spans="1:25" x14ac:dyDescent="0.2">
      <c r="A49" s="185"/>
      <c r="B49" s="273">
        <v>9</v>
      </c>
      <c r="C49" s="281" t="s">
        <v>40</v>
      </c>
      <c r="D49" s="278">
        <v>26</v>
      </c>
      <c r="E49" s="279" t="s">
        <v>159</v>
      </c>
      <c r="F49" s="266">
        <f ca="1">(INDEX(OFFSET('Baseline NFPC'!$D$1:$W$1,$D49-1,0),MATCH(F$4,'Baseline NFPC'!$D$10:$W$10,0))/INDEX(OFFSET('Baseline NFPC'!$D$1:$W$1,$D49-1,0),MATCH(E$4,'Baseline NFPC'!$D$10:$W$10,0))-1)*100</f>
        <v>1.8269759999999913</v>
      </c>
      <c r="G49" s="266">
        <f ca="1">(INDEX(OFFSET('Baseline NFPC'!$D$1:$W$1,$D49-1,0),MATCH(G$4,'Baseline NFPC'!$D$10:$W$10,0))/INDEX(OFFSET('Baseline NFPC'!$D$1:$W$1,$D49-1,0),MATCH(F$4,'Baseline NFPC'!$D$10:$W$10,0))-1)*100</f>
        <v>1.8580990000000019</v>
      </c>
      <c r="H49" s="266">
        <f ca="1">(INDEX(OFFSET('Baseline NFPC'!$D$1:$W$1,$D49-1,0),MATCH(H$4,'Baseline NFPC'!$D$10:$W$10,0))/INDEX(OFFSET('Baseline NFPC'!$D$1:$W$1,$D49-1,0),MATCH(G$4,'Baseline NFPC'!$D$10:$W$10,0))-1)*100</f>
        <v>1.7876730000000007</v>
      </c>
      <c r="I49" s="266">
        <f ca="1">(INDEX(OFFSET('Baseline NFPC'!$D$1:$W$1,$D49-1,0),MATCH(I$4,'Baseline NFPC'!$D$10:$W$10,0))/INDEX(OFFSET('Baseline NFPC'!$D$1:$W$1,$D49-1,0),MATCH(H$4,'Baseline NFPC'!$D$10:$W$10,0))-1)*100</f>
        <v>1.8481380000000103</v>
      </c>
      <c r="J49" s="266">
        <f ca="1">(INDEX(OFFSET('Baseline NFPC'!$D$1:$W$1,$D49-1,0),MATCH(J$4,'Baseline NFPC'!$D$10:$W$10,0))/INDEX(OFFSET('Baseline NFPC'!$D$1:$W$1,$D49-1,0),MATCH(I$4,'Baseline NFPC'!$D$10:$W$10,0))-1)*100</f>
        <v>1.8853889999999929</v>
      </c>
      <c r="K49" s="266">
        <f ca="1">(INDEX(OFFSET('Baseline NFPC'!$D$1:$W$1,$D49-1,0),MATCH(K$4,'Baseline NFPC'!$D$10:$W$10,0))/INDEX(OFFSET('Baseline NFPC'!$D$1:$W$1,$D49-1,0),MATCH(J$4,'Baseline NFPC'!$D$10:$W$10,0))-1)*100</f>
        <v>1.9380989999999931</v>
      </c>
      <c r="L49" s="266">
        <f ca="1">(INDEX(OFFSET('Baseline NFPC'!$D$1:$W$1,$D49-1,0),MATCH(L$4,'Baseline NFPC'!$D$10:$W$10,0))/INDEX(OFFSET('Baseline NFPC'!$D$1:$W$1,$D49-1,0),MATCH(K$4,'Baseline NFPC'!$D$10:$W$10,0))-1)*100</f>
        <v>1.868085999999991</v>
      </c>
      <c r="M49" s="266">
        <f ca="1">(INDEX(OFFSET('Baseline NFPC'!$D$1:$W$1,$D49-1,0),MATCH(M$4,'Baseline NFPC'!$D$10:$W$10,0))/INDEX(OFFSET('Baseline NFPC'!$D$1:$W$1,$D49-1,0),MATCH(L$4,'Baseline NFPC'!$D$10:$W$10,0))-1)*100</f>
        <v>1.8073870000000047</v>
      </c>
      <c r="N49" s="266">
        <f ca="1">(INDEX(OFFSET('Baseline NFPC'!$D$1:$W$1,$D49-1,0),MATCH(N$4,'Baseline NFPC'!$D$10:$W$10,0))/INDEX(OFFSET('Baseline NFPC'!$D$1:$W$1,$D49-1,0),MATCH(M$4,'Baseline NFPC'!$D$10:$W$10,0))-1)*100</f>
        <v>1.7339530000000103</v>
      </c>
      <c r="O49" s="266">
        <f ca="1">(INDEX(OFFSET('Baseline NFPC'!$D$1:$W$1,$D49-1,0),MATCH(O$4,'Baseline NFPC'!$D$10:$W$10,0))/INDEX(OFFSET('Baseline NFPC'!$D$1:$W$1,$D49-1,0),MATCH(N$4,'Baseline NFPC'!$D$10:$W$10,0))-1)*100</f>
        <v>1.6593309999999972</v>
      </c>
      <c r="P49" s="266">
        <f ca="1">(INDEX(OFFSET('Baseline NFPC'!$D$1:$W$1,$D49-1,0),MATCH(P$4,'Baseline NFPC'!$D$10:$W$10,0))/INDEX(OFFSET('Baseline NFPC'!$D$1:$W$1,$D49-1,0),MATCH(O$4,'Baseline NFPC'!$D$10:$W$10,0))-1)*100</f>
        <v>1.6558730000000077</v>
      </c>
      <c r="Q49" s="266">
        <f ca="1">(INDEX(OFFSET('Baseline NFPC'!$D$1:$W$1,$D49-1,0),MATCH(Q$4,'Baseline NFPC'!$D$10:$W$10,0))/INDEX(OFFSET('Baseline NFPC'!$D$1:$W$1,$D49-1,0),MATCH(P$4,'Baseline NFPC'!$D$10:$W$10,0))-1)*100</f>
        <v>1.7004280000000094</v>
      </c>
      <c r="R49" s="266">
        <f ca="1">(INDEX(OFFSET('Baseline NFPC'!$D$1:$W$1,$D49-1,0),MATCH(R$4,'Baseline NFPC'!$D$10:$W$10,0))/INDEX(OFFSET('Baseline NFPC'!$D$1:$W$1,$D49-1,0),MATCH(Q$4,'Baseline NFPC'!$D$10:$W$10,0))-1)*100</f>
        <v>1.744984000000005</v>
      </c>
      <c r="S49" s="266">
        <f ca="1">(INDEX(OFFSET('Baseline NFPC'!$D$1:$W$1,$D49-1,0),MATCH(S$4,'Baseline NFPC'!$D$10:$W$10,0))/INDEX(OFFSET('Baseline NFPC'!$D$1:$W$1,$D49-1,0),MATCH(R$4,'Baseline NFPC'!$D$10:$W$10,0))-1)*100</f>
        <v>1.7895400000000006</v>
      </c>
      <c r="T49" s="266">
        <f ca="1">(INDEX(OFFSET('Baseline NFPC'!$D$1:$W$1,$D49-1,0),MATCH(T$4,'Baseline NFPC'!$D$10:$W$10,0))/INDEX(OFFSET('Baseline NFPC'!$D$1:$W$1,$D49-1,0),MATCH(S$4,'Baseline NFPC'!$D$10:$W$10,0))-1)*100</f>
        <v>1.8757619999999919</v>
      </c>
      <c r="U49" s="266">
        <f ca="1">(INDEX(OFFSET('Baseline NFPC'!$D$1:$W$1,$D49-1,0),MATCH(U$4,'Baseline NFPC'!$D$10:$W$10,0))/INDEX(OFFSET('Baseline NFPC'!$D$1:$W$1,$D49-1,0),MATCH(T$4,'Baseline NFPC'!$D$10:$W$10,0))-1)*100</f>
        <v>1.9914970000000087</v>
      </c>
      <c r="V49" s="266">
        <f ca="1">(INDEX(OFFSET('Baseline NFPC'!$D$1:$W$1,$D49-1,0),MATCH(V$4,'Baseline NFPC'!$D$10:$W$10,0))/INDEX(OFFSET('Baseline NFPC'!$D$1:$W$1,$D49-1,0),MATCH(U$4,'Baseline NFPC'!$D$10:$W$10,0))-1)*100</f>
        <v>2.1287339999999988</v>
      </c>
      <c r="W49" s="266">
        <f ca="1">(INDEX(OFFSET('Baseline NFPC'!$D$1:$W$1,$D49-1,0),MATCH(W$4,'Baseline NFPC'!$D$10:$W$10,0))/INDEX(OFFSET('Baseline NFPC'!$D$1:$W$1,$D49-1,0),MATCH(V$4,'Baseline NFPC'!$D$10:$W$10,0))-1)*100</f>
        <v>2.2491620000000045</v>
      </c>
      <c r="X49" s="266">
        <f ca="1">(INDEX(OFFSET('Baseline NFPC'!$D$1:$W$1,$D49-1,0),MATCH(X$4,'Baseline NFPC'!$D$10:$W$10,0))/INDEX(OFFSET('Baseline NFPC'!$D$1:$W$1,$D49-1,0),MATCH(W$4,'Baseline NFPC'!$D$10:$W$10,0))-1)*100</f>
        <v>2.2265500000000049</v>
      </c>
      <c r="Y49" s="185"/>
    </row>
    <row r="50" spans="1:25" x14ac:dyDescent="0.2">
      <c r="A50" s="185"/>
      <c r="B50" s="273">
        <v>10</v>
      </c>
      <c r="C50" s="269" t="s">
        <v>160</v>
      </c>
      <c r="D50" s="278">
        <v>23</v>
      </c>
      <c r="E50" s="279" t="s">
        <v>159</v>
      </c>
      <c r="F50" s="266">
        <f ca="1">INDEX(OFFSET('Baseline NFPC'!$D$1:$W$1,$D50-1,0),MATCH(F$4,'Baseline NFPC'!$D$10:$W$10,0))</f>
        <v>-1.0957300000000001</v>
      </c>
      <c r="G50" s="266">
        <f ca="1">INDEX(OFFSET('Baseline NFPC'!$D$1:$W$1,$D50-1,0),MATCH(G$4,'Baseline NFPC'!$D$10:$W$10,0))</f>
        <v>1.437554</v>
      </c>
      <c r="H50" s="266">
        <f ca="1">INDEX(OFFSET('Baseline NFPC'!$D$1:$W$1,$D50-1,0),MATCH(H$4,'Baseline NFPC'!$D$10:$W$10,0))</f>
        <v>1.98529</v>
      </c>
      <c r="I50" s="266">
        <f ca="1">INDEX(OFFSET('Baseline NFPC'!$D$1:$W$1,$D50-1,0),MATCH(I$4,'Baseline NFPC'!$D$10:$W$10,0))</f>
        <v>2.8606310000000024</v>
      </c>
      <c r="J50" s="266">
        <f ca="1">INDEX(OFFSET('Baseline NFPC'!$D$1:$W$1,$D50-1,0),MATCH(J$4,'Baseline NFPC'!$D$10:$W$10,0))</f>
        <v>3.2225979999999987</v>
      </c>
      <c r="K50" s="266">
        <f ca="1">INDEX(OFFSET('Baseline NFPC'!$D$1:$W$1,$D50-1,0),MATCH(K$4,'Baseline NFPC'!$D$10:$W$10,0))</f>
        <v>2.598382999999993</v>
      </c>
      <c r="L50" s="266">
        <f ca="1">INDEX(OFFSET('Baseline NFPC'!$D$1:$W$1,$D50-1,0),MATCH(L$4,'Baseline NFPC'!$D$10:$W$10,0))</f>
        <v>1.8680809999999992</v>
      </c>
      <c r="M50" s="266">
        <f ca="1">INDEX(OFFSET('Baseline NFPC'!$D$1:$W$1,$D50-1,0),MATCH(M$4,'Baseline NFPC'!$D$10:$W$10,0))</f>
        <v>1.8073860000000108</v>
      </c>
      <c r="N50" s="266">
        <f ca="1">INDEX(OFFSET('Baseline NFPC'!$D$1:$W$1,$D50-1,0),MATCH(N$4,'Baseline NFPC'!$D$10:$W$10,0))</f>
        <v>1.7339500000000063</v>
      </c>
      <c r="O50" s="266">
        <f ca="1">INDEX(OFFSET('Baseline NFPC'!$D$1:$W$1,$D50-1,0),MATCH(O$4,'Baseline NFPC'!$D$10:$W$10,0))</f>
        <v>1.6593319999999911</v>
      </c>
      <c r="P50" s="266">
        <f ca="1">INDEX(OFFSET('Baseline NFPC'!$D$1:$W$1,$D50-1,0),MATCH(P$4,'Baseline NFPC'!$D$10:$W$10,0))</f>
        <v>1.6558749999999955</v>
      </c>
      <c r="Q50" s="266">
        <f ca="1">INDEX(OFFSET('Baseline NFPC'!$D$1:$W$1,$D50-1,0),MATCH(Q$4,'Baseline NFPC'!$D$10:$W$10,0))</f>
        <v>1.7004269999999932</v>
      </c>
      <c r="R50" s="266">
        <f ca="1">INDEX(OFFSET('Baseline NFPC'!$D$1:$W$1,$D50-1,0),MATCH(R$4,'Baseline NFPC'!$D$10:$W$10,0))</f>
        <v>1.7449819999999949</v>
      </c>
      <c r="S50" s="266">
        <f ca="1">INDEX(OFFSET('Baseline NFPC'!$D$1:$W$1,$D50-1,0),MATCH(S$4,'Baseline NFPC'!$D$10:$W$10,0))</f>
        <v>1.7895409999999945</v>
      </c>
      <c r="T50" s="266">
        <f ca="1">INDEX(OFFSET('Baseline NFPC'!$D$1:$W$1,$D50-1,0),MATCH(T$4,'Baseline NFPC'!$D$10:$W$10,0))</f>
        <v>1.8757590000000102</v>
      </c>
      <c r="U50" s="266">
        <f ca="1">INDEX(OFFSET('Baseline NFPC'!$D$1:$W$1,$D50-1,0),MATCH(U$4,'Baseline NFPC'!$D$10:$W$10,0))</f>
        <v>1.9914949999999987</v>
      </c>
      <c r="V50" s="266">
        <f ca="1">INDEX(OFFSET('Baseline NFPC'!$D$1:$W$1,$D50-1,0),MATCH(V$4,'Baseline NFPC'!$D$10:$W$10,0))</f>
        <v>2.1287349999999927</v>
      </c>
      <c r="W50" s="266">
        <f ca="1">INDEX(OFFSET('Baseline NFPC'!$D$1:$W$1,$D50-1,0),MATCH(W$4,'Baseline NFPC'!$D$10:$W$10,0))</f>
        <v>2.2491660000000024</v>
      </c>
      <c r="X50" s="266">
        <f ca="1">INDEX(OFFSET('Baseline NFPC'!$D$1:$W$1,$D50-1,0),MATCH(X$4,'Baseline NFPC'!$D$10:$W$10,0))</f>
        <v>2.2265519999999928</v>
      </c>
      <c r="Y50" s="185"/>
    </row>
    <row r="51" spans="1:25" x14ac:dyDescent="0.2">
      <c r="A51" s="185"/>
      <c r="B51" s="273">
        <v>11</v>
      </c>
      <c r="C51" s="282" t="s">
        <v>161</v>
      </c>
      <c r="D51" s="278">
        <v>41</v>
      </c>
      <c r="E51" s="279" t="s">
        <v>159</v>
      </c>
      <c r="F51" s="266">
        <f ca="1">INDEX(OFFSET('Baseline NFPC'!$D$1:$W$1,$D51-1,0),MATCH(F$4,'Baseline NFPC'!$D$10:$W$10,0))</f>
        <v>3.4300320000000002</v>
      </c>
      <c r="G51" s="266">
        <f ca="1">INDEX(OFFSET('Baseline NFPC'!$D$1:$W$1,$D51-1,0),MATCH(G$4,'Baseline NFPC'!$D$10:$W$10,0))</f>
        <v>3.9866290000000002</v>
      </c>
      <c r="H51" s="266">
        <f ca="1">INDEX(OFFSET('Baseline NFPC'!$D$1:$W$1,$D51-1,0),MATCH(H$4,'Baseline NFPC'!$D$10:$W$10,0))</f>
        <v>2.5352489999999999</v>
      </c>
      <c r="I51" s="266">
        <f ca="1">INDEX(OFFSET('Baseline NFPC'!$D$1:$W$1,$D51-1,0),MATCH(I$4,'Baseline NFPC'!$D$10:$W$10,0))</f>
        <v>2.5370928749999999</v>
      </c>
      <c r="J51" s="266">
        <f ca="1">INDEX(OFFSET('Baseline NFPC'!$D$1:$W$1,$D51-1,0),MATCH(J$4,'Baseline NFPC'!$D$10:$W$10,0))</f>
        <v>2.53893675</v>
      </c>
      <c r="K51" s="266">
        <f ca="1">INDEX(OFFSET('Baseline NFPC'!$D$1:$W$1,$D51-1,0),MATCH(K$4,'Baseline NFPC'!$D$10:$W$10,0))</f>
        <v>2.540780625</v>
      </c>
      <c r="L51" s="266">
        <f ca="1">INDEX(OFFSET('Baseline NFPC'!$D$1:$W$1,$D51-1,0),MATCH(L$4,'Baseline NFPC'!$D$10:$W$10,0))</f>
        <v>2.5426244999999996</v>
      </c>
      <c r="M51" s="266">
        <f ca="1">INDEX(OFFSET('Baseline NFPC'!$D$1:$W$1,$D51-1,0),MATCH(M$4,'Baseline NFPC'!$D$10:$W$10,0))</f>
        <v>2.5444683749999997</v>
      </c>
      <c r="N51" s="266">
        <f ca="1">INDEX(OFFSET('Baseline NFPC'!$D$1:$W$1,$D51-1,0),MATCH(N$4,'Baseline NFPC'!$D$10:$W$10,0))</f>
        <v>2.5463122499999997</v>
      </c>
      <c r="O51" s="266">
        <f ca="1">INDEX(OFFSET('Baseline NFPC'!$D$1:$W$1,$D51-1,0),MATCH(O$4,'Baseline NFPC'!$D$10:$W$10,0))</f>
        <v>2.5481561249999998</v>
      </c>
      <c r="P51" s="266">
        <f ca="1">INDEX(OFFSET('Baseline NFPC'!$D$1:$W$1,$D51-1,0),MATCH(P$4,'Baseline NFPC'!$D$10:$W$10,0))</f>
        <v>2.5499999999999998</v>
      </c>
      <c r="Q51" s="266">
        <f ca="1">INDEX(OFFSET('Baseline NFPC'!$D$1:$W$1,$D51-1,0),MATCH(Q$4,'Baseline NFPC'!$D$10:$W$10,0))</f>
        <v>2.5225</v>
      </c>
      <c r="R51" s="266">
        <f ca="1">INDEX(OFFSET('Baseline NFPC'!$D$1:$W$1,$D51-1,0),MATCH(R$4,'Baseline NFPC'!$D$10:$W$10,0))</f>
        <v>2.4949999999999997</v>
      </c>
      <c r="S51" s="266">
        <f ca="1">INDEX(OFFSET('Baseline NFPC'!$D$1:$W$1,$D51-1,0),MATCH(S$4,'Baseline NFPC'!$D$10:$W$10,0))</f>
        <v>2.4674999999999998</v>
      </c>
      <c r="T51" s="266">
        <f ca="1">INDEX(OFFSET('Baseline NFPC'!$D$1:$W$1,$D51-1,0),MATCH(T$4,'Baseline NFPC'!$D$10:$W$10,0))</f>
        <v>2.44</v>
      </c>
      <c r="U51" s="266">
        <f ca="1">INDEX(OFFSET('Baseline NFPC'!$D$1:$W$1,$D51-1,0),MATCH(U$4,'Baseline NFPC'!$D$10:$W$10,0))</f>
        <v>2.4124999999999996</v>
      </c>
      <c r="V51" s="266">
        <f ca="1">INDEX(OFFSET('Baseline NFPC'!$D$1:$W$1,$D51-1,0),MATCH(V$4,'Baseline NFPC'!$D$10:$W$10,0))</f>
        <v>2.3849999999999998</v>
      </c>
      <c r="W51" s="266">
        <f ca="1">INDEX(OFFSET('Baseline NFPC'!$D$1:$W$1,$D51-1,0),MATCH(W$4,'Baseline NFPC'!$D$10:$W$10,0))</f>
        <v>2.3574999999999999</v>
      </c>
      <c r="X51" s="266">
        <f ca="1">INDEX(OFFSET('Baseline NFPC'!$D$1:$W$1,$D51-1,0),MATCH(X$4,'Baseline NFPC'!$D$10:$W$10,0))</f>
        <v>2.33</v>
      </c>
      <c r="Y51" s="185"/>
    </row>
    <row r="52" spans="1:25" x14ac:dyDescent="0.2">
      <c r="A52" s="185"/>
      <c r="B52" s="273">
        <v>12</v>
      </c>
      <c r="C52" s="269" t="s">
        <v>162</v>
      </c>
      <c r="D52" s="278">
        <v>32</v>
      </c>
      <c r="E52" s="279" t="s">
        <v>159</v>
      </c>
      <c r="F52" s="266">
        <f ca="1">INDEX(OFFSET('Baseline NFPC'!$D$1:$W$1,$D52-1,0),MATCH(F$4,'Baseline NFPC'!$D$10:$W$10,0))</f>
        <v>2.2967181103664025</v>
      </c>
      <c r="G52" s="266">
        <f ca="1">INDEX(OFFSET('Baseline NFPC'!$D$1:$W$1,$D52-1,0),MATCH(G$4,'Baseline NFPC'!$D$10:$W$10,0))</f>
        <v>5.4814929446546756</v>
      </c>
      <c r="H52" s="266">
        <f ca="1">INDEX(OFFSET('Baseline NFPC'!$D$1:$W$1,$D52-1,0),MATCH(H$4,'Baseline NFPC'!$D$10:$W$10,0))</f>
        <v>4.5708710448721046</v>
      </c>
      <c r="I52" s="266">
        <f ca="1">INDEX(OFFSET('Baseline NFPC'!$D$1:$W$1,$D52-1,0),MATCH(I$4,'Baseline NFPC'!$D$10:$W$10,0))</f>
        <v>5.4703007402810311</v>
      </c>
      <c r="J52" s="266">
        <f ca="1">INDEX(OFFSET('Baseline NFPC'!$D$1:$W$1,$D52-1,0),MATCH(J$4,'Baseline NFPC'!$D$10:$W$10,0))</f>
        <v>5.8433544749267652</v>
      </c>
      <c r="K52" s="266">
        <f ca="1">INDEX(OFFSET('Baseline NFPC'!$D$1:$W$1,$D52-1,0),MATCH(K$4,'Baseline NFPC'!$D$10:$W$10,0))</f>
        <v>5.2051828368272934</v>
      </c>
      <c r="L52" s="266">
        <f ca="1">INDEX(OFFSET('Baseline NFPC'!$D$1:$W$1,$D52-1,0),MATCH(L$4,'Baseline NFPC'!$D$10:$W$10,0))</f>
        <v>4.4582037851858436</v>
      </c>
      <c r="M52" s="266">
        <f ca="1">INDEX(OFFSET('Baseline NFPC'!$D$1:$W$1,$D52-1,0),MATCH(M$4,'Baseline NFPC'!$D$10:$W$10,0))</f>
        <v>4.3978427401841769</v>
      </c>
      <c r="N52" s="266">
        <f ca="1">INDEX(OFFSET('Baseline NFPC'!$D$1:$W$1,$D52-1,0),MATCH(N$4,'Baseline NFPC'!$D$10:$W$10,0))</f>
        <v>4.3244140312588719</v>
      </c>
      <c r="O52" s="266">
        <f ca="1">INDEX(OFFSET('Baseline NFPC'!$D$1:$W$1,$D52-1,0),MATCH(O$4,'Baseline NFPC'!$D$10:$W$10,0))</f>
        <v>4.2497704949920667</v>
      </c>
      <c r="P52" s="266">
        <f ca="1">INDEX(OFFSET('Baseline NFPC'!$D$1:$W$1,$D52-1,0),MATCH(P$4,'Baseline NFPC'!$D$10:$W$10,0))</f>
        <v>4.2480998125000058</v>
      </c>
      <c r="Q52" s="266">
        <f ca="1">INDEX(OFFSET('Baseline NFPC'!$D$1:$W$1,$D52-1,0),MATCH(Q$4,'Baseline NFPC'!$D$10:$W$10,0))</f>
        <v>4.2658202710750048</v>
      </c>
      <c r="R52" s="266">
        <f ca="1">INDEX(OFFSET('Baseline NFPC'!$D$1:$W$1,$D52-1,0),MATCH(R$4,'Baseline NFPC'!$D$10:$W$10,0))</f>
        <v>4.2835193009000072</v>
      </c>
      <c r="S52" s="266">
        <f ca="1">INDEX(OFFSET('Baseline NFPC'!$D$1:$W$1,$D52-1,0),MATCH(S$4,'Baseline NFPC'!$D$10:$W$10,0))</f>
        <v>4.3011979241750042</v>
      </c>
      <c r="T52" s="266">
        <f ca="1">INDEX(OFFSET('Baseline NFPC'!$D$1:$W$1,$D52-1,0),MATCH(T$4,'Baseline NFPC'!$D$10:$W$10,0))</f>
        <v>4.3615275196000169</v>
      </c>
      <c r="U52" s="266">
        <f ca="1">INDEX(OFFSET('Baseline NFPC'!$D$1:$W$1,$D52-1,0),MATCH(U$4,'Baseline NFPC'!$D$10:$W$10,0))</f>
        <v>4.4520398168749864</v>
      </c>
      <c r="V52" s="266">
        <f ca="1">INDEX(OFFSET('Baseline NFPC'!$D$1:$W$1,$D52-1,0),MATCH(V$4,'Baseline NFPC'!$D$10:$W$10,0))</f>
        <v>4.5645053297499905</v>
      </c>
      <c r="W52" s="266">
        <f ca="1">INDEX(OFFSET('Baseline NFPC'!$D$1:$W$1,$D52-1,0),MATCH(W$4,'Baseline NFPC'!$D$10:$W$10,0))</f>
        <v>4.659690088449997</v>
      </c>
      <c r="X52" s="266">
        <f ca="1">INDEX(OFFSET('Baseline NFPC'!$D$1:$W$1,$D52-1,0),MATCH(X$4,'Baseline NFPC'!$D$10:$W$10,0))</f>
        <v>4.6084306615999937</v>
      </c>
      <c r="Y52" s="185"/>
    </row>
    <row r="53" spans="1:25" x14ac:dyDescent="0.2">
      <c r="A53" s="185"/>
      <c r="B53" s="273">
        <v>13</v>
      </c>
      <c r="C53" s="269" t="s">
        <v>46</v>
      </c>
      <c r="D53" s="268"/>
      <c r="E53" s="279" t="s">
        <v>156</v>
      </c>
      <c r="F53" s="285">
        <f>'Input data'!$C$49</f>
        <v>0.75</v>
      </c>
      <c r="G53" s="185"/>
      <c r="H53" s="185"/>
      <c r="I53" s="185"/>
      <c r="J53" s="185"/>
      <c r="K53" s="185"/>
      <c r="L53" s="185"/>
      <c r="M53" s="185"/>
      <c r="N53" s="185"/>
      <c r="O53" s="185"/>
      <c r="P53" s="185"/>
      <c r="Q53" s="185"/>
      <c r="R53" s="185"/>
      <c r="S53" s="185"/>
      <c r="T53" s="185"/>
      <c r="U53" s="185"/>
      <c r="V53" s="185"/>
      <c r="W53" s="185"/>
      <c r="X53" s="185"/>
      <c r="Y53" s="185"/>
    </row>
    <row r="54" spans="1:25" x14ac:dyDescent="0.2">
      <c r="A54" s="185"/>
      <c r="B54" s="267"/>
      <c r="C54" s="288"/>
      <c r="D54" s="288"/>
      <c r="E54" s="288"/>
      <c r="F54" s="288"/>
      <c r="G54" s="288"/>
      <c r="H54" s="288"/>
      <c r="I54" s="288"/>
      <c r="J54" s="288"/>
      <c r="K54" s="185"/>
      <c r="L54" s="185"/>
      <c r="M54" s="185"/>
      <c r="N54" s="185"/>
      <c r="O54" s="185"/>
      <c r="P54" s="185"/>
      <c r="Q54" s="185"/>
      <c r="R54" s="185"/>
      <c r="S54" s="185"/>
      <c r="T54" s="185"/>
      <c r="U54" s="185"/>
      <c r="V54" s="185"/>
      <c r="W54" s="185"/>
      <c r="X54" s="185"/>
      <c r="Y54" s="185"/>
    </row>
    <row r="55" spans="1:25" x14ac:dyDescent="0.2">
      <c r="A55" s="185"/>
      <c r="B55" s="289"/>
      <c r="C55" s="271" t="s">
        <v>168</v>
      </c>
      <c r="D55" s="272"/>
      <c r="E55" s="272"/>
      <c r="F55" s="272"/>
      <c r="G55" s="288"/>
      <c r="H55" s="288"/>
      <c r="I55" s="288"/>
      <c r="J55" s="288"/>
      <c r="K55" s="185"/>
      <c r="L55" s="185"/>
      <c r="M55" s="185"/>
      <c r="N55" s="185"/>
      <c r="O55" s="185"/>
      <c r="P55" s="185"/>
      <c r="Q55" s="185"/>
      <c r="R55" s="185"/>
      <c r="S55" s="185"/>
      <c r="T55" s="185"/>
      <c r="U55" s="185"/>
      <c r="V55" s="185"/>
      <c r="W55" s="185"/>
      <c r="X55" s="185"/>
      <c r="Y55" s="185"/>
    </row>
    <row r="56" spans="1:25" x14ac:dyDescent="0.2">
      <c r="A56" s="185"/>
      <c r="B56" s="267"/>
      <c r="C56" s="288"/>
      <c r="D56" s="288"/>
      <c r="E56" s="288"/>
      <c r="F56" s="288"/>
      <c r="G56" s="288"/>
      <c r="H56" s="288"/>
      <c r="I56" s="288"/>
      <c r="J56" s="288"/>
      <c r="K56" s="185"/>
      <c r="L56" s="185"/>
      <c r="M56" s="185"/>
      <c r="N56" s="185"/>
      <c r="O56" s="185"/>
      <c r="P56" s="185"/>
      <c r="Q56" s="185"/>
      <c r="R56" s="185"/>
      <c r="S56" s="185"/>
      <c r="T56" s="185"/>
      <c r="U56" s="185"/>
      <c r="V56" s="185"/>
      <c r="W56" s="185"/>
      <c r="X56" s="185"/>
      <c r="Y56" s="185"/>
    </row>
    <row r="57" spans="1:25" x14ac:dyDescent="0.2">
      <c r="A57" s="185"/>
      <c r="B57" s="273"/>
      <c r="C57" s="271"/>
      <c r="D57" s="271"/>
      <c r="E57" s="276"/>
      <c r="F57" s="276">
        <f>'Input data'!$C$5-1</f>
        <v>2023</v>
      </c>
      <c r="G57" s="276">
        <f>F57+1</f>
        <v>2024</v>
      </c>
      <c r="H57" s="276">
        <f t="shared" ref="H57:X57" si="2">G57+1</f>
        <v>2025</v>
      </c>
      <c r="I57" s="276">
        <f t="shared" si="2"/>
        <v>2026</v>
      </c>
      <c r="J57" s="276">
        <f t="shared" si="2"/>
        <v>2027</v>
      </c>
      <c r="K57" s="276">
        <f t="shared" si="2"/>
        <v>2028</v>
      </c>
      <c r="L57" s="276">
        <f t="shared" si="2"/>
        <v>2029</v>
      </c>
      <c r="M57" s="276">
        <f t="shared" si="2"/>
        <v>2030</v>
      </c>
      <c r="N57" s="276">
        <f t="shared" si="2"/>
        <v>2031</v>
      </c>
      <c r="O57" s="276">
        <f t="shared" si="2"/>
        <v>2032</v>
      </c>
      <c r="P57" s="276">
        <f t="shared" si="2"/>
        <v>2033</v>
      </c>
      <c r="Q57" s="276">
        <f t="shared" si="2"/>
        <v>2034</v>
      </c>
      <c r="R57" s="276">
        <f t="shared" si="2"/>
        <v>2035</v>
      </c>
      <c r="S57" s="276">
        <f t="shared" si="2"/>
        <v>2036</v>
      </c>
      <c r="T57" s="276">
        <f t="shared" si="2"/>
        <v>2037</v>
      </c>
      <c r="U57" s="276">
        <f t="shared" si="2"/>
        <v>2038</v>
      </c>
      <c r="V57" s="276">
        <f t="shared" si="2"/>
        <v>2039</v>
      </c>
      <c r="W57" s="276">
        <f t="shared" si="2"/>
        <v>2040</v>
      </c>
      <c r="X57" s="276">
        <f t="shared" si="2"/>
        <v>2041</v>
      </c>
      <c r="Y57" s="185"/>
    </row>
    <row r="58" spans="1:25" x14ac:dyDescent="0.2">
      <c r="A58" s="185"/>
      <c r="B58" s="273">
        <v>1</v>
      </c>
      <c r="C58" s="277" t="s">
        <v>149</v>
      </c>
      <c r="D58" s="278">
        <v>90</v>
      </c>
      <c r="E58" s="279" t="s">
        <v>150</v>
      </c>
      <c r="F58" s="266">
        <f ca="1">INDEX(OFFSET('Adjustment scenario'!$D$1:$W$1,$D58-1,0),MATCH(F$4,'Adjustment scenario'!$D$10:$W$10,0))</f>
        <v>25.669613830669952</v>
      </c>
      <c r="G58" s="266">
        <f ca="1">INDEX(OFFSET('Adjustment scenario'!$D$1:$W$1,$D58-1,0),MATCH(G$4,'Adjustment scenario'!$D$10:$W$10,0))</f>
        <v>27.071291453606207</v>
      </c>
      <c r="H58" s="266">
        <f ca="1">INDEX(OFFSET('Adjustment scenario'!$D$1:$W$1,$D58-1,0),MATCH(H$4,'Adjustment scenario'!$D$10:$W$10,0))</f>
        <v>28.628811353557538</v>
      </c>
      <c r="I58" s="266">
        <f ca="1">INDEX(OFFSET('Adjustment scenario'!$D$1:$W$1,$D58-1,0),MATCH(I$4,'Adjustment scenario'!$D$10:$W$10,0))</f>
        <v>29.434736131451963</v>
      </c>
      <c r="J58" s="266">
        <f ca="1">INDEX(OFFSET('Adjustment scenario'!$D$1:$W$1,$D58-1,0),MATCH(J$4,'Adjustment scenario'!$D$10:$W$10,0))</f>
        <v>29.44618853648014</v>
      </c>
      <c r="K58" s="266">
        <f ca="1">INDEX(OFFSET('Adjustment scenario'!$D$1:$W$1,$D58-1,0),MATCH(K$4,'Adjustment scenario'!$D$10:$W$10,0))</f>
        <v>29.242245472814361</v>
      </c>
      <c r="L58" s="266">
        <f ca="1">INDEX(OFFSET('Adjustment scenario'!$D$1:$W$1,$D58-1,0),MATCH(L$4,'Adjustment scenario'!$D$10:$W$10,0))</f>
        <v>29.283214683409046</v>
      </c>
      <c r="M58" s="266">
        <f ca="1">INDEX(OFFSET('Adjustment scenario'!$D$1:$W$1,$D58-1,0),MATCH(M$4,'Adjustment scenario'!$D$10:$W$10,0))</f>
        <v>29.385673711227003</v>
      </c>
      <c r="N58" s="266">
        <f ca="1">INDEX(OFFSET('Adjustment scenario'!$D$1:$W$1,$D58-1,0),MATCH(N$4,'Adjustment scenario'!$D$10:$W$10,0))</f>
        <v>29.551479679620726</v>
      </c>
      <c r="O58" s="266">
        <f ca="1">INDEX(OFFSET('Adjustment scenario'!$D$1:$W$1,$D58-1,0),MATCH(O$4,'Adjustment scenario'!$D$10:$W$10,0))</f>
        <v>29.789676192438094</v>
      </c>
      <c r="P58" s="266">
        <f ca="1">INDEX(OFFSET('Adjustment scenario'!$D$1:$W$1,$D58-1,0),MATCH(P$4,'Adjustment scenario'!$D$10:$W$10,0))</f>
        <v>30.069320820586015</v>
      </c>
      <c r="Q58" s="266">
        <f ca="1">INDEX(OFFSET('Adjustment scenario'!$D$1:$W$1,$D58-1,0),MATCH(Q$4,'Adjustment scenario'!$D$10:$W$10,0))</f>
        <v>30.383810480391684</v>
      </c>
      <c r="R58" s="266">
        <f ca="1">INDEX(OFFSET('Adjustment scenario'!$D$1:$W$1,$D58-1,0),MATCH(R$4,'Adjustment scenario'!$D$10:$W$10,0))</f>
        <v>30.722119367867826</v>
      </c>
      <c r="S58" s="266">
        <f ca="1">INDEX(OFFSET('Adjustment scenario'!$D$1:$W$1,$D58-1,0),MATCH(S$4,'Adjustment scenario'!$D$10:$W$10,0))</f>
        <v>31.082754023138381</v>
      </c>
      <c r="T58" s="266">
        <f ca="1">INDEX(OFFSET('Adjustment scenario'!$D$1:$W$1,$D58-1,0),MATCH(T$4,'Adjustment scenario'!$D$10:$W$10,0))</f>
        <v>31.445144526745736</v>
      </c>
      <c r="U58" s="266">
        <f ca="1">INDEX(OFFSET('Adjustment scenario'!$D$1:$W$1,$D58-1,0),MATCH(U$4,'Adjustment scenario'!$D$10:$W$10,0))</f>
        <v>31.807566807367856</v>
      </c>
      <c r="V58" s="266">
        <f ca="1">INDEX(OFFSET('Adjustment scenario'!$D$1:$W$1,$D58-1,0),MATCH(V$4,'Adjustment scenario'!$D$10:$W$10,0))</f>
        <v>32.155375202813907</v>
      </c>
      <c r="W58" s="266">
        <f ca="1">INDEX(OFFSET('Adjustment scenario'!$D$1:$W$1,$D58-1,0),MATCH(W$4,'Adjustment scenario'!$D$10:$W$10,0))</f>
        <v>32.481528507307416</v>
      </c>
      <c r="X58" s="266">
        <f ca="1">INDEX(OFFSET('Adjustment scenario'!$D$1:$W$1,$D58-1,0),MATCH(X$4,'Adjustment scenario'!$D$10:$W$10,0))</f>
        <v>32.827445009787077</v>
      </c>
      <c r="Y58" s="185"/>
    </row>
    <row r="59" spans="1:25" x14ac:dyDescent="0.2">
      <c r="A59" s="185"/>
      <c r="B59" s="273">
        <f>B58+1</f>
        <v>2</v>
      </c>
      <c r="C59" s="280" t="s">
        <v>100</v>
      </c>
      <c r="D59" s="278">
        <v>92</v>
      </c>
      <c r="E59" s="279" t="s">
        <v>150</v>
      </c>
      <c r="F59" s="266">
        <f ca="1">INDEX(OFFSET('Adjustment scenario'!$D$1:$W$1,$D59-1,0),MATCH(F$4,'Adjustment scenario'!$D$10:$W$10,0))</f>
        <v>2.9950554895787773</v>
      </c>
      <c r="G59" s="266">
        <f ca="1">INDEX(OFFSET('Adjustment scenario'!$D$1:$W$1,$D59-1,0),MATCH(G$4,'Adjustment scenario'!$D$10:$W$10,0))</f>
        <v>2.3742009819130046E-2</v>
      </c>
      <c r="H59" s="266">
        <f ca="1">INDEX(OFFSET('Adjustment scenario'!$D$1:$W$1,$D59-1,0),MATCH(H$4,'Adjustment scenario'!$D$10:$W$10,0))</f>
        <v>0.22291506225889368</v>
      </c>
      <c r="I59" s="266">
        <f ca="1">INDEX(OFFSET('Adjustment scenario'!$D$1:$W$1,$D59-1,0),MATCH(I$4,'Adjustment scenario'!$D$10:$W$10,0))</f>
        <v>0.44103431224337847</v>
      </c>
      <c r="J59" s="266">
        <f ca="1">INDEX(OFFSET('Adjustment scenario'!$D$1:$W$1,$D59-1,0),MATCH(J$4,'Adjustment scenario'!$D$10:$W$10,0))</f>
        <v>0.66427469027619901</v>
      </c>
      <c r="K59" s="266">
        <f ca="1">INDEX(OFFSET('Adjustment scenario'!$D$1:$W$1,$D59-1,0),MATCH(K$4,'Adjustment scenario'!$D$10:$W$10,0))</f>
        <v>0.88237174321563328</v>
      </c>
      <c r="L59" s="266">
        <f ca="1">INDEX(OFFSET('Adjustment scenario'!$D$1:$W$1,$D59-1,0),MATCH(L$4,'Adjustment scenario'!$D$10:$W$10,0))</f>
        <v>1.0963802913287186</v>
      </c>
      <c r="M59" s="266">
        <f ca="1">INDEX(OFFSET('Adjustment scenario'!$D$1:$W$1,$D59-1,0),MATCH(M$4,'Adjustment scenario'!$D$10:$W$10,0))</f>
        <v>1.3128479484327862</v>
      </c>
      <c r="N59" s="266">
        <f ca="1">INDEX(OFFSET('Adjustment scenario'!$D$1:$W$1,$D59-1,0),MATCH(N$4,'Adjustment scenario'!$D$10:$W$10,0))</f>
        <v>1.5335862713586088</v>
      </c>
      <c r="O59" s="266">
        <f ca="1">INDEX(OFFSET('Adjustment scenario'!$D$1:$W$1,$D59-1,0),MATCH(O$4,'Adjustment scenario'!$D$10:$W$10,0))</f>
        <v>1.7599494288982014</v>
      </c>
      <c r="P59" s="266">
        <f ca="1">INDEX(OFFSET('Adjustment scenario'!$D$1:$W$1,$D59-1,0),MATCH(P$4,'Adjustment scenario'!$D$10:$W$10,0))</f>
        <v>1.9925378156125022</v>
      </c>
      <c r="Q59" s="266">
        <f ca="1">INDEX(OFFSET('Adjustment scenario'!$D$1:$W$1,$D59-1,0),MATCH(Q$4,'Adjustment scenario'!$D$10:$W$10,0))</f>
        <v>2.0109898919158944</v>
      </c>
      <c r="R59" s="266">
        <f ca="1">INDEX(OFFSET('Adjustment scenario'!$D$1:$W$1,$D59-1,0),MATCH(R$4,'Adjustment scenario'!$D$10:$W$10,0))</f>
        <v>2.031765401393693</v>
      </c>
      <c r="S59" s="266">
        <f ca="1">INDEX(OFFSET('Adjustment scenario'!$D$1:$W$1,$D59-1,0),MATCH(S$4,'Adjustment scenario'!$D$10:$W$10,0))</f>
        <v>2.0541254746142159</v>
      </c>
      <c r="T59" s="266">
        <f ca="1">INDEX(OFFSET('Adjustment scenario'!$D$1:$W$1,$D59-1,0),MATCH(T$4,'Adjustment scenario'!$D$10:$W$10,0))</f>
        <v>2.077119847619187</v>
      </c>
      <c r="U59" s="266">
        <f ca="1">INDEX(OFFSET('Adjustment scenario'!$D$1:$W$1,$D59-1,0),MATCH(U$4,'Adjustment scenario'!$D$10:$W$10,0))</f>
        <v>2.0995962883757753</v>
      </c>
      <c r="V59" s="266">
        <f ca="1">INDEX(OFFSET('Adjustment scenario'!$D$1:$W$1,$D59-1,0),MATCH(V$4,'Adjustment scenario'!$D$10:$W$10,0))</f>
        <v>2.121588981886839</v>
      </c>
      <c r="W59" s="266">
        <f ca="1">INDEX(OFFSET('Adjustment scenario'!$D$1:$W$1,$D59-1,0),MATCH(W$4,'Adjustment scenario'!$D$10:$W$10,0))</f>
        <v>2.1429126450540172</v>
      </c>
      <c r="X59" s="266">
        <f ca="1">INDEX(OFFSET('Adjustment scenario'!$D$1:$W$1,$D59-1,0),MATCH(X$4,'Adjustment scenario'!$D$10:$W$10,0))</f>
        <v>2.1657810532796526</v>
      </c>
      <c r="Y59" s="185"/>
    </row>
    <row r="60" spans="1:25" x14ac:dyDescent="0.2">
      <c r="A60" s="185"/>
      <c r="B60" s="273">
        <f t="shared" ref="B60:B62" si="3">B59+1</f>
        <v>3</v>
      </c>
      <c r="C60" s="280" t="s">
        <v>101</v>
      </c>
      <c r="D60" s="278">
        <v>93</v>
      </c>
      <c r="E60" s="279" t="s">
        <v>150</v>
      </c>
      <c r="F60" s="266">
        <f ca="1">INDEX(OFFSET('Adjustment scenario'!$D$1:$W$1,$D60-1,0),MATCH(F$4,'Adjustment scenario'!$D$10:$W$10,0))</f>
        <v>0.59212534325230182</v>
      </c>
      <c r="G60" s="266">
        <f ca="1">INDEX(OFFSET('Adjustment scenario'!$D$1:$W$1,$D60-1,0),MATCH(G$4,'Adjustment scenario'!$D$10:$W$10,0))</f>
        <v>0.59364428199006292</v>
      </c>
      <c r="H60" s="266">
        <f ca="1">INDEX(OFFSET('Adjustment scenario'!$D$1:$W$1,$D60-1,0),MATCH(H$4,'Adjustment scenario'!$D$10:$W$10,0))</f>
        <v>0.62743836030925526</v>
      </c>
      <c r="I60" s="266">
        <f ca="1">INDEX(OFFSET('Adjustment scenario'!$D$1:$W$1,$D60-1,0),MATCH(I$4,'Adjustment scenario'!$D$10:$W$10,0))</f>
        <v>0.65424136641069564</v>
      </c>
      <c r="J60" s="266">
        <f ca="1">INDEX(OFFSET('Adjustment scenario'!$D$1:$W$1,$D60-1,0),MATCH(J$4,'Adjustment scenario'!$D$10:$W$10,0))</f>
        <v>0.66754847412007867</v>
      </c>
      <c r="K60" s="266">
        <f ca="1">INDEX(OFFSET('Adjustment scenario'!$D$1:$W$1,$D60-1,0),MATCH(K$4,'Adjustment scenario'!$D$10:$W$10,0))</f>
        <v>0.67004345040748248</v>
      </c>
      <c r="L60" s="266">
        <f ca="1">INDEX(OFFSET('Adjustment scenario'!$D$1:$W$1,$D60-1,0),MATCH(L$4,'Adjustment scenario'!$D$10:$W$10,0))</f>
        <v>0.66883876934477426</v>
      </c>
      <c r="M60" s="266">
        <f ca="1">INDEX(OFFSET('Adjustment scenario'!$D$1:$W$1,$D60-1,0),MATCH(M$4,'Adjustment scenario'!$D$10:$W$10,0))</f>
        <v>0.66886029217645726</v>
      </c>
      <c r="N60" s="266">
        <f ca="1">INDEX(OFFSET('Adjustment scenario'!$D$1:$W$1,$D60-1,0),MATCH(N$4,'Adjustment scenario'!$D$10:$W$10,0))</f>
        <v>0.67038119752601377</v>
      </c>
      <c r="O60" s="266">
        <f ca="1">INDEX(OFFSET('Adjustment scenario'!$D$1:$W$1,$D60-1,0),MATCH(O$4,'Adjustment scenario'!$D$10:$W$10,0))</f>
        <v>0.67336832833105342</v>
      </c>
      <c r="P60" s="266">
        <f ca="1">INDEX(OFFSET('Adjustment scenario'!$D$1:$W$1,$D60-1,0),MATCH(P$4,'Adjustment scenario'!$D$10:$W$10,0))</f>
        <v>0.67753659131176469</v>
      </c>
      <c r="Q60" s="266">
        <f ca="1">INDEX(OFFSET('Adjustment scenario'!$D$1:$W$1,$D60-1,0),MATCH(Q$4,'Adjustment scenario'!$D$10:$W$10,0))</f>
        <v>0.68252963539784173</v>
      </c>
      <c r="R60" s="266">
        <f ca="1">INDEX(OFFSET('Adjustment scenario'!$D$1:$W$1,$D60-1,0),MATCH(R$4,'Adjustment scenario'!$D$10:$W$10,0))</f>
        <v>0.68832171413419951</v>
      </c>
      <c r="S60" s="266">
        <f ca="1">INDEX(OFFSET('Adjustment scenario'!$D$1:$W$1,$D60-1,0),MATCH(S$4,'Adjustment scenario'!$D$10:$W$10,0))</f>
        <v>0.69466980204979256</v>
      </c>
      <c r="T60" s="266">
        <f ca="1">INDEX(OFFSET('Adjustment scenario'!$D$1:$W$1,$D60-1,0),MATCH(T$4,'Adjustment scenario'!$D$10:$W$10,0))</f>
        <v>0.70125290708180987</v>
      </c>
      <c r="U60" s="266">
        <f ca="1">INDEX(OFFSET('Adjustment scenario'!$D$1:$W$1,$D60-1,0),MATCH(U$4,'Adjustment scenario'!$D$10:$W$10,0))</f>
        <v>0.70768794928128631</v>
      </c>
      <c r="V60" s="266">
        <f ca="1">INDEX(OFFSET('Adjustment scenario'!$D$1:$W$1,$D60-1,0),MATCH(V$4,'Adjustment scenario'!$D$10:$W$10,0))</f>
        <v>0.71398262802992762</v>
      </c>
      <c r="W60" s="266">
        <f ca="1">INDEX(OFFSET('Adjustment scenario'!$D$1:$W$1,$D60-1,0),MATCH(W$4,'Adjustment scenario'!$D$10:$W$10,0))</f>
        <v>0.720080567948989</v>
      </c>
      <c r="X60" s="266">
        <f ca="1">INDEX(OFFSET('Adjustment scenario'!$D$1:$W$1,$D60-1,0),MATCH(X$4,'Adjustment scenario'!$D$10:$W$10,0))</f>
        <v>0.72673197874403117</v>
      </c>
      <c r="Y60" s="185"/>
    </row>
    <row r="61" spans="1:25" x14ac:dyDescent="0.2">
      <c r="A61" s="185"/>
      <c r="B61" s="273">
        <f t="shared" si="3"/>
        <v>4</v>
      </c>
      <c r="C61" s="280" t="s">
        <v>102</v>
      </c>
      <c r="D61" s="278">
        <v>94</v>
      </c>
      <c r="E61" s="279" t="s">
        <v>150</v>
      </c>
      <c r="F61" s="266">
        <f ca="1">INDEX(OFFSET('Adjustment scenario'!$D$1:$W$1,$D61-1,0),MATCH(F$4,'Adjustment scenario'!$D$10:$W$10,0))</f>
        <v>1.4573674963638568</v>
      </c>
      <c r="G61" s="266">
        <f ca="1">INDEX(OFFSET('Adjustment scenario'!$D$1:$W$1,$D61-1,0),MATCH(G$4,'Adjustment scenario'!$D$10:$W$10,0))</f>
        <v>2.6731638758311114</v>
      </c>
      <c r="H61" s="266">
        <f ca="1">INDEX(OFFSET('Adjustment scenario'!$D$1:$W$1,$D61-1,0),MATCH(H$4,'Adjustment scenario'!$D$10:$W$10,0))</f>
        <v>2.6782343358914318</v>
      </c>
      <c r="I61" s="266">
        <f ca="1">INDEX(OFFSET('Adjustment scenario'!$D$1:$W$1,$D61-1,0),MATCH(I$4,'Adjustment scenario'!$D$10:$W$10,0))</f>
        <v>2.2384664376825381</v>
      </c>
      <c r="J61" s="266">
        <f ca="1">INDEX(OFFSET('Adjustment scenario'!$D$1:$W$1,$D61-1,0),MATCH(J$4,'Adjustment scenario'!$D$10:$W$10,0))</f>
        <v>1.5991007179701477</v>
      </c>
      <c r="K61" s="266">
        <f ca="1">INDEX(OFFSET('Adjustment scenario'!$D$1:$W$1,$D61-1,0),MATCH(K$4,'Adjustment scenario'!$D$10:$W$10,0))</f>
        <v>1.2243373796356494</v>
      </c>
      <c r="L61" s="266">
        <f ca="1">INDEX(OFFSET('Adjustment scenario'!$D$1:$W$1,$D61-1,0),MATCH(L$4,'Adjustment scenario'!$D$10:$W$10,0))</f>
        <v>1.2595710462704102</v>
      </c>
      <c r="M61" s="266">
        <f ca="1">INDEX(OFFSET('Adjustment scenario'!$D$1:$W$1,$D61-1,0),MATCH(M$4,'Adjustment scenario'!$D$10:$W$10,0))</f>
        <v>1.3055269360722286</v>
      </c>
      <c r="N61" s="266">
        <f ca="1">INDEX(OFFSET('Adjustment scenario'!$D$1:$W$1,$D61-1,0),MATCH(N$4,'Adjustment scenario'!$D$10:$W$10,0))</f>
        <v>1.3522854638775443</v>
      </c>
      <c r="O61" s="266">
        <f ca="1">INDEX(OFFSET('Adjustment scenario'!$D$1:$W$1,$D61-1,0),MATCH(O$4,'Adjustment scenario'!$D$10:$W$10,0))</f>
        <v>1.4099199957141226</v>
      </c>
      <c r="P61" s="266">
        <f ca="1">INDEX(OFFSET('Adjustment scenario'!$D$1:$W$1,$D61-1,0),MATCH(P$4,'Adjustment scenario'!$D$10:$W$10,0))</f>
        <v>1.4594624709578405</v>
      </c>
      <c r="Q61" s="266">
        <f ca="1">INDEX(OFFSET('Adjustment scenario'!$D$1:$W$1,$D61-1,0),MATCH(Q$4,'Adjustment scenario'!$D$10:$W$10,0))</f>
        <v>1.5094372241980476</v>
      </c>
      <c r="R61" s="266">
        <f ca="1">INDEX(OFFSET('Adjustment scenario'!$D$1:$W$1,$D61-1,0),MATCH(R$4,'Adjustment scenario'!$D$10:$W$10,0))</f>
        <v>1.5501181782928664</v>
      </c>
      <c r="S61" s="266">
        <f ca="1">INDEX(OFFSET('Adjustment scenario'!$D$1:$W$1,$D61-1,0),MATCH(S$4,'Adjustment scenario'!$D$10:$W$10,0))</f>
        <v>1.5903923705814387</v>
      </c>
      <c r="T61" s="266">
        <f ca="1">INDEX(OFFSET('Adjustment scenario'!$D$1:$W$1,$D61-1,0),MATCH(T$4,'Adjustment scenario'!$D$10:$W$10,0))</f>
        <v>1.6234744273618043</v>
      </c>
      <c r="U61" s="266">
        <f ca="1">INDEX(OFFSET('Adjustment scenario'!$D$1:$W$1,$D61-1,0),MATCH(U$4,'Adjustment scenario'!$D$10:$W$10,0))</f>
        <v>1.6638183586315816</v>
      </c>
      <c r="V61" s="266">
        <f ca="1">INDEX(OFFSET('Adjustment scenario'!$D$1:$W$1,$D61-1,0),MATCH(V$4,'Adjustment scenario'!$D$10:$W$10,0))</f>
        <v>1.696637734650702</v>
      </c>
      <c r="W61" s="266">
        <f ca="1">INDEX(OFFSET('Adjustment scenario'!$D$1:$W$1,$D61-1,0),MATCH(W$4,'Adjustment scenario'!$D$10:$W$10,0))</f>
        <v>1.7176422060535925</v>
      </c>
      <c r="X61" s="266">
        <f ca="1">INDEX(OFFSET('Adjustment scenario'!$D$1:$W$1,$D61-1,0),MATCH(X$4,'Adjustment scenario'!$D$10:$W$10,0))</f>
        <v>1.7362831306222584</v>
      </c>
      <c r="Y61" s="185"/>
    </row>
    <row r="62" spans="1:25" x14ac:dyDescent="0.2">
      <c r="A62" s="185"/>
      <c r="B62" s="273">
        <f t="shared" si="3"/>
        <v>5</v>
      </c>
      <c r="C62" s="280" t="s">
        <v>103</v>
      </c>
      <c r="D62" s="278">
        <v>95</v>
      </c>
      <c r="E62" s="279" t="s">
        <v>150</v>
      </c>
      <c r="F62" s="266">
        <f ca="1">INDEX(OFFSET('Adjustment scenario'!$D$1:$W$1,$D62-1,0),MATCH(F$4,'Adjustment scenario'!$D$10:$W$10,0))</f>
        <v>3.4059570789883246E-2</v>
      </c>
      <c r="G62" s="266">
        <f ca="1">INDEX(OFFSET('Adjustment scenario'!$D$1:$W$1,$D62-1,0),MATCH(G$4,'Adjustment scenario'!$D$10:$W$10,0))</f>
        <v>6.2473476654989847E-2</v>
      </c>
      <c r="H62" s="266">
        <f ca="1">INDEX(OFFSET('Adjustment scenario'!$D$1:$W$1,$D62-1,0),MATCH(H$4,'Adjustment scenario'!$D$10:$W$10,0))</f>
        <v>6.2591976411429204E-2</v>
      </c>
      <c r="I62" s="266">
        <f ca="1">INDEX(OFFSET('Adjustment scenario'!$D$1:$W$1,$D62-1,0),MATCH(I$4,'Adjustment scenario'!$D$10:$W$10,0))</f>
        <v>5.2314331344186414E-2</v>
      </c>
      <c r="J62" s="266">
        <f ca="1">INDEX(OFFSET('Adjustment scenario'!$D$1:$W$1,$D62-1,0),MATCH(J$4,'Adjustment scenario'!$D$10:$W$10,0))</f>
        <v>3.7371962967300408E-2</v>
      </c>
      <c r="K62" s="266">
        <f ca="1">INDEX(OFFSET('Adjustment scenario'!$D$1:$W$1,$D62-1,0),MATCH(K$4,'Adjustment scenario'!$D$10:$W$10,0))</f>
        <v>2.8613514269011348E-2</v>
      </c>
      <c r="L62" s="266">
        <f ca="1">INDEX(OFFSET('Adjustment scenario'!$D$1:$W$1,$D62-1,0),MATCH(L$4,'Adjustment scenario'!$D$10:$W$10,0))</f>
        <v>2.9436946633139068E-2</v>
      </c>
      <c r="M62" s="266">
        <f ca="1">INDEX(OFFSET('Adjustment scenario'!$D$1:$W$1,$D62-1,0),MATCH(M$4,'Adjustment scenario'!$D$10:$W$10,0))</f>
        <v>3.0510963918293558E-2</v>
      </c>
      <c r="N62" s="266">
        <f ca="1">INDEX(OFFSET('Adjustment scenario'!$D$1:$W$1,$D62-1,0),MATCH(N$4,'Adjustment scenario'!$D$10:$W$10,0))</f>
        <v>3.1603739345074627E-2</v>
      </c>
      <c r="O62" s="266">
        <f ca="1">INDEX(OFFSET('Adjustment scenario'!$D$1:$W$1,$D62-1,0),MATCH(O$4,'Adjustment scenario'!$D$10:$W$10,0))</f>
        <v>3.2950693645844638E-2</v>
      </c>
      <c r="P62" s="266">
        <f ca="1">INDEX(OFFSET('Adjustment scenario'!$D$1:$W$1,$D62-1,0),MATCH(P$4,'Adjustment scenario'!$D$10:$W$10,0))</f>
        <v>3.4108531628974842E-2</v>
      </c>
      <c r="Q62" s="266">
        <f ca="1">INDEX(OFFSET('Adjustment scenario'!$D$1:$W$1,$D62-1,0),MATCH(Q$4,'Adjustment scenario'!$D$10:$W$10,0))</f>
        <v>3.5276472213582759E-2</v>
      </c>
      <c r="R62" s="266">
        <f ca="1">INDEX(OFFSET('Adjustment scenario'!$D$1:$W$1,$D62-1,0),MATCH(R$4,'Adjustment scenario'!$D$10:$W$10,0))</f>
        <v>3.6227211021227022E-2</v>
      </c>
      <c r="S62" s="266">
        <f ca="1">INDEX(OFFSET('Adjustment scenario'!$D$1:$W$1,$D62-1,0),MATCH(S$4,'Adjustment scenario'!$D$10:$W$10,0))</f>
        <v>3.7168443556384045E-2</v>
      </c>
      <c r="T62" s="266">
        <f ca="1">INDEX(OFFSET('Adjustment scenario'!$D$1:$W$1,$D62-1,0),MATCH(T$4,'Adjustment scenario'!$D$10:$W$10,0))</f>
        <v>3.7941591480704494E-2</v>
      </c>
      <c r="U62" s="266">
        <f ca="1">INDEX(OFFSET('Adjustment scenario'!$D$1:$W$1,$D62-1,0),MATCH(U$4,'Adjustment scenario'!$D$10:$W$10,0))</f>
        <v>3.8884453858556031E-2</v>
      </c>
      <c r="V62" s="266">
        <f ca="1">INDEX(OFFSET('Adjustment scenario'!$D$1:$W$1,$D62-1,0),MATCH(V$4,'Adjustment scenario'!$D$10:$W$10,0))</f>
        <v>3.9651462772637057E-2</v>
      </c>
      <c r="W62" s="266">
        <f ca="1">INDEX(OFFSET('Adjustment scenario'!$D$1:$W$1,$D62-1,0),MATCH(W$4,'Adjustment scenario'!$D$10:$W$10,0))</f>
        <v>4.0142350131135006E-2</v>
      </c>
      <c r="X62" s="266">
        <f ca="1">INDEX(OFFSET('Adjustment scenario'!$D$1:$W$1,$D62-1,0),MATCH(X$4,'Adjustment scenario'!$D$10:$W$10,0))</f>
        <v>4.0577999952830242E-2</v>
      </c>
      <c r="Y62" s="185"/>
    </row>
    <row r="63" spans="1:25" x14ac:dyDescent="0.2">
      <c r="A63" s="185"/>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3.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Criteria results</vt:lpstr>
      <vt:lpstr>Input data</vt:lpstr>
      <vt:lpstr>Baseline NFPC</vt:lpstr>
      <vt:lpstr>Adjustment scenario</vt:lpstr>
      <vt:lpstr>Adjust. no safeguard</vt:lpstr>
      <vt:lpstr>FASTOP reporting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ERDEI Miklos (ECFIN)</cp:lastModifiedBy>
  <cp:revision/>
  <dcterms:created xsi:type="dcterms:W3CDTF">2013-04-12T08:50:12Z</dcterms:created>
  <dcterms:modified xsi:type="dcterms:W3CDTF">2024-06-20T11:17:48Z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