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3E6464D4-BA5C-4E55-96F7-C89B50D8469B}" xr6:coauthVersionLast="47" xr6:coauthVersionMax="47" xr10:uidLastSave="{00000000-0000-0000-0000-000000000000}"/>
  <bookViews>
    <workbookView xWindow="-28920" yWindow="-120" windowWidth="29040" windowHeight="15840" tabRatio="788"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V104" i="40"/>
  <c r="U104" i="40"/>
  <c r="T104" i="40"/>
  <c r="S104" i="40"/>
  <c r="R104" i="40"/>
  <c r="Q104" i="40"/>
  <c r="P104" i="40"/>
  <c r="O104" i="40"/>
  <c r="N104" i="40"/>
  <c r="M104" i="40"/>
  <c r="L104" i="40"/>
  <c r="K104" i="40"/>
  <c r="J104" i="40"/>
  <c r="I104" i="40"/>
  <c r="H104" i="40"/>
  <c r="G104" i="40"/>
  <c r="F104" i="40"/>
  <c r="E104" i="40"/>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H62" i="9"/>
  <c r="E99" i="9" l="1"/>
  <c r="F99" i="9"/>
  <c r="G99" i="9"/>
  <c r="L14" i="21"/>
  <c r="M9" i="44" s="1"/>
  <c r="B17" i="21" l="1"/>
  <c r="B16" i="19"/>
  <c r="B16" i="18"/>
  <c r="B16" i="17"/>
  <c r="B16" i="9"/>
  <c r="E96" i="19" l="1"/>
  <c r="F96" i="19"/>
  <c r="G96" i="19"/>
  <c r="E95" i="18"/>
  <c r="F95" i="18"/>
  <c r="G95" i="18"/>
  <c r="E95" i="17"/>
  <c r="F95" i="17"/>
  <c r="G95" i="17"/>
  <c r="H13" i="17" l="1"/>
  <c r="F87" i="21" l="1"/>
  <c r="C27" i="40"/>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H2" i="43" a="1"/>
  <c r="H2" i="43" s="1"/>
  <c r="C11" i="22"/>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19"/>
  <c r="G36" i="40"/>
  <c r="O38" i="19"/>
  <c r="O38" i="40"/>
  <c r="M74" i="40"/>
  <c r="F12" i="21"/>
  <c r="F12" i="40"/>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19"/>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O37" i="19"/>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46" i="44" s="1"/>
  <c r="G38" i="21"/>
  <c r="H12" i="44" s="1"/>
  <c r="G37" i="17"/>
  <c r="E36" i="17"/>
  <c r="E37" i="21"/>
  <c r="F11" i="44" s="1"/>
  <c r="E36" i="9"/>
  <c r="F46" i="44" s="1"/>
  <c r="E38" i="21"/>
  <c r="F12" i="44" s="1"/>
  <c r="E37" i="17"/>
  <c r="D38" i="21"/>
  <c r="D37" i="17"/>
  <c r="F37" i="17"/>
  <c r="F38" i="21"/>
  <c r="G12" i="44" s="1"/>
  <c r="G36" i="17"/>
  <c r="G36" i="9"/>
  <c r="H46" i="44" s="1"/>
  <c r="G37" i="21"/>
  <c r="H11" i="44" s="1"/>
  <c r="D36" i="17"/>
  <c r="D37" i="21"/>
  <c r="U41" i="9"/>
  <c r="V41" i="9"/>
  <c r="W41" i="9"/>
  <c r="G13" i="17"/>
  <c r="G13" i="18"/>
  <c r="G13" i="19"/>
  <c r="G14" i="17"/>
  <c r="G14" i="18"/>
  <c r="G14" i="19"/>
  <c r="O36" i="18"/>
  <c r="O37" i="18"/>
  <c r="G35" i="9"/>
  <c r="H48" i="44" s="1"/>
  <c r="G35" i="18"/>
  <c r="G35" i="17"/>
  <c r="G41" i="17"/>
  <c r="G41" i="18"/>
  <c r="Q41" i="9"/>
  <c r="R41" i="9"/>
  <c r="S41" i="9"/>
  <c r="T41" i="9"/>
  <c r="P41" i="9"/>
  <c r="O38" i="21"/>
  <c r="P12" i="44" s="1"/>
  <c r="O37" i="9"/>
  <c r="P47" i="44" s="1"/>
  <c r="G42" i="21"/>
  <c r="G41" i="9"/>
  <c r="G15" i="21"/>
  <c r="O37" i="21"/>
  <c r="P11" i="44" s="1"/>
  <c r="O36" i="9"/>
  <c r="P46" i="44" s="1"/>
  <c r="G14" i="21"/>
  <c r="H9" i="44" s="1"/>
  <c r="G13" i="9"/>
  <c r="G36" i="21"/>
  <c r="C5" i="9"/>
  <c r="C6" i="9" s="1"/>
  <c r="F74" i="40" l="1"/>
  <c r="H13" i="44"/>
  <c r="E60" i="40"/>
  <c r="E50" i="40"/>
  <c r="F50" i="40" s="1"/>
  <c r="G7" i="44"/>
  <c r="P17" i="44"/>
  <c r="H17" i="44"/>
  <c r="H24" i="44"/>
  <c r="F25" i="44"/>
  <c r="F24" i="44"/>
  <c r="G32" i="44"/>
  <c r="F32" i="44"/>
  <c r="P32" i="44"/>
  <c r="H25" i="44"/>
  <c r="F31" i="44"/>
  <c r="H32" i="44"/>
  <c r="H31" i="44"/>
  <c r="G24" i="44"/>
  <c r="G31" i="44"/>
  <c r="P31" i="44"/>
  <c r="G25" i="44"/>
  <c r="H41" i="9"/>
  <c r="H51" i="44"/>
  <c r="P42" i="40"/>
  <c r="Q51" i="44"/>
  <c r="T42" i="40"/>
  <c r="U51" i="44"/>
  <c r="S42" i="40"/>
  <c r="T51" i="44"/>
  <c r="R42" i="40"/>
  <c r="S51" i="44"/>
  <c r="Q42" i="40"/>
  <c r="R51" i="44"/>
  <c r="W42" i="40"/>
  <c r="X51" i="44"/>
  <c r="V42" i="40"/>
  <c r="W51" i="44"/>
  <c r="U42" i="40"/>
  <c r="V51" i="44"/>
  <c r="I2" i="43" a="1"/>
  <c r="I2" i="43" s="1"/>
  <c r="F12" i="18"/>
  <c r="H64" i="9"/>
  <c r="H38" i="40"/>
  <c r="I38" i="40" s="1"/>
  <c r="J38" i="40" s="1"/>
  <c r="K38" i="40" s="1"/>
  <c r="L38" i="40" s="1"/>
  <c r="M38" i="40" s="1"/>
  <c r="N38" i="40" s="1"/>
  <c r="F60" i="40"/>
  <c r="F52" i="40"/>
  <c r="G74" i="40"/>
  <c r="H37" i="9"/>
  <c r="G98" i="9"/>
  <c r="I37" i="19"/>
  <c r="H37" i="19"/>
  <c r="N38" i="19"/>
  <c r="H38" i="19"/>
  <c r="H37" i="21"/>
  <c r="N37" i="19"/>
  <c r="M37" i="19"/>
  <c r="F63" i="9"/>
  <c r="H36" i="18"/>
  <c r="I36" i="18" s="1"/>
  <c r="J36" i="18" s="1"/>
  <c r="K36" i="18" s="1"/>
  <c r="L36" i="18" s="1"/>
  <c r="M36" i="18" s="1"/>
  <c r="N36" i="18" s="1"/>
  <c r="J37" i="19"/>
  <c r="L37" i="19"/>
  <c r="K37" i="19"/>
  <c r="J38" i="19"/>
  <c r="L38" i="19"/>
  <c r="I38" i="19"/>
  <c r="M38" i="19"/>
  <c r="K38" i="19"/>
  <c r="L37" i="17"/>
  <c r="M37" i="17"/>
  <c r="H37" i="18"/>
  <c r="I37" i="18" s="1"/>
  <c r="J37" i="18" s="1"/>
  <c r="K37" i="18" s="1"/>
  <c r="L37" i="18" s="1"/>
  <c r="M37" i="18" s="1"/>
  <c r="N37" i="18" s="1"/>
  <c r="L36" i="17"/>
  <c r="M36" i="17"/>
  <c r="H36" i="9"/>
  <c r="H38" i="21"/>
  <c r="F64" i="9"/>
  <c r="V37" i="9"/>
  <c r="W37" i="9"/>
  <c r="U37" i="9"/>
  <c r="O36" i="17"/>
  <c r="W36" i="9"/>
  <c r="U36" i="9"/>
  <c r="V36" i="9"/>
  <c r="S37" i="9"/>
  <c r="T37" i="9"/>
  <c r="Q37" i="9"/>
  <c r="P37" i="9"/>
  <c r="R37" i="9"/>
  <c r="Q36" i="9"/>
  <c r="R46" i="44" s="1"/>
  <c r="S36" i="9"/>
  <c r="T36" i="9"/>
  <c r="P36" i="9"/>
  <c r="R36" i="9"/>
  <c r="I41" i="9"/>
  <c r="N41" i="9"/>
  <c r="J41" i="9"/>
  <c r="K41" i="9"/>
  <c r="L41" i="9"/>
  <c r="M41" i="9"/>
  <c r="G32" i="9"/>
  <c r="H52" i="44" s="1"/>
  <c r="D23" i="9"/>
  <c r="D24" i="40" s="1"/>
  <c r="F41" i="17"/>
  <c r="E23" i="9"/>
  <c r="F23" i="9"/>
  <c r="C56" i="17"/>
  <c r="C3" i="9"/>
  <c r="H13" i="19"/>
  <c r="I13" i="19"/>
  <c r="J13" i="19"/>
  <c r="K13" i="19"/>
  <c r="L13" i="19"/>
  <c r="M13" i="19"/>
  <c r="N13" i="19"/>
  <c r="O13" i="19"/>
  <c r="P13" i="19"/>
  <c r="Q13" i="19"/>
  <c r="R13" i="19"/>
  <c r="S13" i="19"/>
  <c r="T13" i="19"/>
  <c r="U13" i="19"/>
  <c r="V13" i="19"/>
  <c r="W13" i="19"/>
  <c r="H13" i="18"/>
  <c r="I13" i="18"/>
  <c r="J13" i="18"/>
  <c r="K13" i="18"/>
  <c r="L13" i="18"/>
  <c r="M13" i="18"/>
  <c r="N13" i="18"/>
  <c r="O13" i="18"/>
  <c r="P13" i="18"/>
  <c r="Q13" i="18"/>
  <c r="R13" i="18"/>
  <c r="S13" i="18"/>
  <c r="T13" i="18"/>
  <c r="U13" i="18"/>
  <c r="V13" i="18"/>
  <c r="W13" i="18"/>
  <c r="I13" i="17"/>
  <c r="J13" i="17"/>
  <c r="K13" i="17"/>
  <c r="L13" i="17"/>
  <c r="M13" i="17"/>
  <c r="N13" i="17"/>
  <c r="O13" i="17"/>
  <c r="P13" i="17"/>
  <c r="Q13" i="17"/>
  <c r="R13" i="17"/>
  <c r="S13" i="17"/>
  <c r="T13" i="17"/>
  <c r="U13" i="17"/>
  <c r="V13" i="17"/>
  <c r="W13" i="17"/>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H41" i="17"/>
  <c r="M24" i="44"/>
  <c r="N25" i="44"/>
  <c r="O32" i="44"/>
  <c r="M25" i="44"/>
  <c r="I31" i="44"/>
  <c r="L32" i="44"/>
  <c r="J31" i="44"/>
  <c r="N32" i="44"/>
  <c r="J32" i="44"/>
  <c r="M32" i="44"/>
  <c r="K32" i="44"/>
  <c r="L31" i="44"/>
  <c r="N24" i="44"/>
  <c r="I32" i="44"/>
  <c r="M31" i="44"/>
  <c r="O31" i="44"/>
  <c r="K31" i="44"/>
  <c r="N31" i="44"/>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P24" i="44"/>
  <c r="I38" i="21"/>
  <c r="I12" i="44"/>
  <c r="G28" i="44"/>
  <c r="I37" i="21"/>
  <c r="I11" i="44"/>
  <c r="H36" i="17"/>
  <c r="G51" i="40"/>
  <c r="D33" i="40"/>
  <c r="D68" i="40" s="1"/>
  <c r="N42" i="40"/>
  <c r="Q37" i="21"/>
  <c r="R11" i="44" s="1"/>
  <c r="Q37" i="40"/>
  <c r="G96" i="9"/>
  <c r="V38" i="9"/>
  <c r="V39" i="40" s="1"/>
  <c r="W38" i="9"/>
  <c r="W39" i="40" s="1"/>
  <c r="U38" i="9"/>
  <c r="O38" i="9"/>
  <c r="O39" i="40" s="1"/>
  <c r="P38" i="9"/>
  <c r="P39" i="40" s="1"/>
  <c r="N41" i="17"/>
  <c r="P37" i="21"/>
  <c r="Q11" i="44" s="1"/>
  <c r="P36" i="17"/>
  <c r="P36" i="18"/>
  <c r="H42" i="21"/>
  <c r="N42" i="21"/>
  <c r="E24" i="21"/>
  <c r="F16" i="44" s="1"/>
  <c r="E23" i="17"/>
  <c r="F23" i="17"/>
  <c r="F24" i="21"/>
  <c r="D24" i="21"/>
  <c r="D23" i="17"/>
  <c r="G12" i="40" l="1"/>
  <c r="G79" i="40" s="1"/>
  <c r="G16" i="44"/>
  <c r="G38" i="9"/>
  <c r="G39" i="40" s="1"/>
  <c r="M38" i="9"/>
  <c r="M39" i="40" s="1"/>
  <c r="L38" i="9"/>
  <c r="L39" i="40" s="1"/>
  <c r="K38" i="9"/>
  <c r="K39" i="40" s="1"/>
  <c r="J38" i="9"/>
  <c r="I38" i="9"/>
  <c r="I39" i="40" s="1"/>
  <c r="H38" i="9"/>
  <c r="H39" i="40" s="1"/>
  <c r="I17" i="44"/>
  <c r="Q24" i="44"/>
  <c r="J37" i="9"/>
  <c r="J47" i="44"/>
  <c r="J36" i="9"/>
  <c r="J46" i="44"/>
  <c r="O17" i="44"/>
  <c r="J37" i="21"/>
  <c r="J11" i="44"/>
  <c r="I24" i="44"/>
  <c r="J38" i="21"/>
  <c r="J12" i="44"/>
  <c r="G2" i="43" a="1"/>
  <c r="G2" i="43" s="1"/>
  <c r="G101" i="40"/>
  <c r="G101" i="9"/>
  <c r="I36" i="17"/>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G50" i="40" l="1"/>
  <c r="K36" i="9"/>
  <c r="K46" i="44"/>
  <c r="K37" i="9"/>
  <c r="K47" i="44"/>
  <c r="H12" i="40"/>
  <c r="H79" i="40" s="1"/>
  <c r="K38" i="21"/>
  <c r="K12" i="44"/>
  <c r="J24" i="44"/>
  <c r="K37" i="21"/>
  <c r="K11" i="44"/>
  <c r="G12" i="17"/>
  <c r="G60" i="40"/>
  <c r="G12" i="18"/>
  <c r="G12" i="19"/>
  <c r="G52" i="40"/>
  <c r="G13" i="40"/>
  <c r="J36" i="17"/>
  <c r="J39" i="21"/>
  <c r="J39" i="40"/>
  <c r="C3" i="22"/>
  <c r="C3" i="17"/>
  <c r="C3" i="18"/>
  <c r="C3" i="19"/>
  <c r="U70" i="17"/>
  <c r="U71" i="19"/>
  <c r="V71" i="19"/>
  <c r="W71" i="19"/>
  <c r="U70" i="18"/>
  <c r="V70" i="18"/>
  <c r="W70" i="18"/>
  <c r="V70" i="17"/>
  <c r="W70" i="17"/>
  <c r="N24" i="19"/>
  <c r="H12" i="19" l="1"/>
  <c r="H52" i="40"/>
  <c r="I12" i="40"/>
  <c r="I79" i="40" s="1"/>
  <c r="H60" i="40"/>
  <c r="K24" i="44"/>
  <c r="H13" i="40"/>
  <c r="H50" i="40"/>
  <c r="H12" i="17"/>
  <c r="H28" i="44"/>
  <c r="H12" i="18"/>
  <c r="L37" i="9"/>
  <c r="L47" i="44"/>
  <c r="L36" i="9"/>
  <c r="L46" i="44"/>
  <c r="L37" i="21"/>
  <c r="L11" i="44"/>
  <c r="L38" i="21"/>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G13" i="44" l="1"/>
  <c r="I52" i="40"/>
  <c r="D49" i="17"/>
  <c r="E49" i="17" s="1"/>
  <c r="F49" i="17" s="1"/>
  <c r="G49" i="17" s="1"/>
  <c r="H49" i="17" s="1"/>
  <c r="I12" i="19"/>
  <c r="I50" i="40"/>
  <c r="I13" i="40"/>
  <c r="I60" i="40"/>
  <c r="I12" i="18"/>
  <c r="J12" i="40"/>
  <c r="J79" i="40" s="1"/>
  <c r="D50" i="19"/>
  <c r="E50" i="19" s="1"/>
  <c r="F50" i="19" s="1"/>
  <c r="G50" i="19" s="1"/>
  <c r="H50" i="19" s="1"/>
  <c r="I12" i="17"/>
  <c r="F43" i="44"/>
  <c r="F7" i="44"/>
  <c r="D49" i="9"/>
  <c r="E49" i="9" s="1"/>
  <c r="F49" i="9" s="1"/>
  <c r="I28" i="44"/>
  <c r="G43" i="44"/>
  <c r="M36" i="9"/>
  <c r="M46" i="44"/>
  <c r="M37" i="9"/>
  <c r="M47" i="44"/>
  <c r="M38" i="21"/>
  <c r="M12" i="44"/>
  <c r="M37" i="21"/>
  <c r="M11" i="44"/>
  <c r="T39" i="21"/>
  <c r="T39" i="40"/>
  <c r="D96" i="9"/>
  <c r="G12" i="9"/>
  <c r="G78" i="9" s="1"/>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J12" i="18" l="1"/>
  <c r="K28" i="44" s="1"/>
  <c r="I50" i="19"/>
  <c r="J13" i="40"/>
  <c r="J28" i="44"/>
  <c r="J50" i="40"/>
  <c r="J60" i="40"/>
  <c r="K12" i="40"/>
  <c r="K79" i="40" s="1"/>
  <c r="J52" i="40"/>
  <c r="J12" i="17"/>
  <c r="J12" i="19"/>
  <c r="I49" i="17"/>
  <c r="H43" i="44"/>
  <c r="G49" i="9"/>
  <c r="N37" i="9"/>
  <c r="O47" i="44" s="1"/>
  <c r="N47" i="44"/>
  <c r="N36" i="9"/>
  <c r="O46" i="44" s="1"/>
  <c r="N46" i="44"/>
  <c r="N37" i="21"/>
  <c r="N11" i="44"/>
  <c r="N38" i="21"/>
  <c r="N12" i="44"/>
  <c r="C101" i="40"/>
  <c r="C106" i="40" s="1"/>
  <c r="D101" i="40"/>
  <c r="D106" i="40" s="1"/>
  <c r="H12" i="9"/>
  <c r="H78" i="9" s="1"/>
  <c r="E26" i="22"/>
  <c r="F26" i="22"/>
  <c r="G26" i="22"/>
  <c r="H26" i="22"/>
  <c r="F24" i="22"/>
  <c r="F23" i="22"/>
  <c r="H23" i="22"/>
  <c r="H24" i="22"/>
  <c r="G23" i="22"/>
  <c r="G24" i="22"/>
  <c r="I26" i="22"/>
  <c r="E23" i="22"/>
  <c r="E24" i="22"/>
  <c r="I23" i="22"/>
  <c r="I24" i="22"/>
  <c r="J50" i="19" l="1"/>
  <c r="J49" i="17"/>
  <c r="K13" i="40"/>
  <c r="L12" i="40"/>
  <c r="L79" i="40" s="1"/>
  <c r="K52" i="40"/>
  <c r="K50" i="40"/>
  <c r="K12" i="19"/>
  <c r="K60" i="40"/>
  <c r="K12" i="18"/>
  <c r="K12" i="17"/>
  <c r="H49" i="9"/>
  <c r="H59" i="9"/>
  <c r="I43" i="44"/>
  <c r="O12" i="44"/>
  <c r="O11" i="44"/>
  <c r="I12" i="9"/>
  <c r="I78" i="9" s="1"/>
  <c r="C46" i="17"/>
  <c r="C46" i="18"/>
  <c r="C47" i="19"/>
  <c r="C47" i="21"/>
  <c r="C46" i="9"/>
  <c r="K49" i="17" l="1"/>
  <c r="K50" i="19"/>
  <c r="L12" i="18"/>
  <c r="M28" i="44" s="1"/>
  <c r="L12" i="19"/>
  <c r="L13" i="40"/>
  <c r="L28" i="44"/>
  <c r="L50" i="40"/>
  <c r="L52" i="40"/>
  <c r="L60" i="40"/>
  <c r="M12" i="40"/>
  <c r="M79" i="40" s="1"/>
  <c r="L12" i="17"/>
  <c r="I49" i="9"/>
  <c r="J12" i="9"/>
  <c r="J78" i="9" s="1"/>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18"/>
  <c r="D50" i="9"/>
  <c r="B18" i="9"/>
  <c r="L49" i="17" l="1"/>
  <c r="L50" i="19"/>
  <c r="M13" i="40"/>
  <c r="M12" i="18"/>
  <c r="M60" i="40"/>
  <c r="D81" i="40"/>
  <c r="N12" i="40"/>
  <c r="N79" i="40" s="1"/>
  <c r="J49" i="9"/>
  <c r="M12" i="17"/>
  <c r="M12" i="19"/>
  <c r="M50" i="40"/>
  <c r="M52" i="40"/>
  <c r="K12" i="9"/>
  <c r="K78" i="9" s="1"/>
  <c r="K43" i="44"/>
  <c r="G63" i="17"/>
  <c r="J63" i="17"/>
  <c r="H63" i="17"/>
  <c r="I63" i="17"/>
  <c r="B21" i="22"/>
  <c r="E63" i="9"/>
  <c r="D64" i="9"/>
  <c r="D63" i="9"/>
  <c r="E64" i="9"/>
  <c r="F64" i="18"/>
  <c r="E64" i="18"/>
  <c r="D64" i="18"/>
  <c r="M49" i="17" l="1"/>
  <c r="M50" i="19"/>
  <c r="N28" i="44"/>
  <c r="N13" i="40"/>
  <c r="N50" i="40"/>
  <c r="N60" i="40"/>
  <c r="K49" i="9"/>
  <c r="N52" i="40"/>
  <c r="O12" i="40"/>
  <c r="O79" i="40" s="1"/>
  <c r="N12" i="18"/>
  <c r="L12" i="9"/>
  <c r="L78" i="9" s="1"/>
  <c r="L43" i="44"/>
  <c r="D51" i="21"/>
  <c r="C5" i="21"/>
  <c r="O12" i="18" l="1"/>
  <c r="L49" i="9"/>
  <c r="O50" i="40"/>
  <c r="P51" i="40" s="1"/>
  <c r="O52" i="40"/>
  <c r="O28" i="44"/>
  <c r="O13" i="40"/>
  <c r="O60" i="40"/>
  <c r="P12" i="40"/>
  <c r="P79" i="40" s="1"/>
  <c r="D50" i="21"/>
  <c r="E50" i="21" s="1"/>
  <c r="F50" i="21" s="1"/>
  <c r="M12" i="9"/>
  <c r="M43" i="44"/>
  <c r="C6" i="21"/>
  <c r="C7" i="21"/>
  <c r="D65" i="21"/>
  <c r="F65" i="21"/>
  <c r="E65" i="21"/>
  <c r="T71" i="19"/>
  <c r="S71" i="19"/>
  <c r="R71" i="19"/>
  <c r="Q71" i="19"/>
  <c r="P71" i="19"/>
  <c r="O71" i="19"/>
  <c r="N71" i="19"/>
  <c r="M71" i="19"/>
  <c r="L71" i="19"/>
  <c r="K71" i="19"/>
  <c r="J71" i="19"/>
  <c r="I71" i="19"/>
  <c r="H71" i="19"/>
  <c r="D51" i="19"/>
  <c r="T70" i="17"/>
  <c r="R70" i="17"/>
  <c r="Q70" i="17"/>
  <c r="P70" i="17"/>
  <c r="O70" i="17"/>
  <c r="N70" i="17"/>
  <c r="M70" i="17"/>
  <c r="L70" i="17"/>
  <c r="K70" i="17"/>
  <c r="J70" i="17"/>
  <c r="I70" i="17"/>
  <c r="H70" i="17"/>
  <c r="D50" i="17"/>
  <c r="F64" i="17"/>
  <c r="P28" i="44" l="1"/>
  <c r="M49" i="9"/>
  <c r="M78" i="9"/>
  <c r="P52" i="40"/>
  <c r="P60" i="40"/>
  <c r="P12" i="18"/>
  <c r="P13" i="40"/>
  <c r="Q12" i="40"/>
  <c r="Q79" i="40" s="1"/>
  <c r="P50" i="40"/>
  <c r="N12" i="9"/>
  <c r="N43" i="44"/>
  <c r="I64" i="21"/>
  <c r="G64" i="21"/>
  <c r="H64" i="21"/>
  <c r="J64" i="21"/>
  <c r="F64" i="21"/>
  <c r="D64" i="21"/>
  <c r="D64" i="17"/>
  <c r="E64" i="17"/>
  <c r="E65" i="19"/>
  <c r="D65" i="19"/>
  <c r="F65" i="19"/>
  <c r="N49" i="9" l="1"/>
  <c r="N78" i="9"/>
  <c r="Q28" i="44"/>
  <c r="Q13" i="40"/>
  <c r="R12" i="40"/>
  <c r="Q60" i="40"/>
  <c r="Q52" i="40"/>
  <c r="Q12" i="18"/>
  <c r="Q51" i="40"/>
  <c r="Q50" i="40"/>
  <c r="O12" i="9"/>
  <c r="O43" i="44"/>
  <c r="C47" i="18"/>
  <c r="C48" i="19"/>
  <c r="C48" i="21"/>
  <c r="C47" i="17"/>
  <c r="C47" i="9"/>
  <c r="E35" i="9"/>
  <c r="F48" i="44" s="1"/>
  <c r="F35" i="9"/>
  <c r="G48" i="44" s="1"/>
  <c r="C3" i="21"/>
  <c r="Q24" i="19"/>
  <c r="R60" i="40" l="1"/>
  <c r="R79" i="40"/>
  <c r="O49" i="9"/>
  <c r="O78" i="9"/>
  <c r="R52" i="40"/>
  <c r="S12" i="40"/>
  <c r="R13" i="40"/>
  <c r="R12" i="18"/>
  <c r="R28" i="44"/>
  <c r="R50" i="40"/>
  <c r="R51" i="40"/>
  <c r="P12" i="9"/>
  <c r="P43" i="44"/>
  <c r="A7" i="43"/>
  <c r="A12" i="43"/>
  <c r="A8" i="43"/>
  <c r="A22" i="43"/>
  <c r="A6" i="43"/>
  <c r="A5" i="43"/>
  <c r="A21" i="43"/>
  <c r="A20" i="43"/>
  <c r="A4" i="43"/>
  <c r="A19" i="43"/>
  <c r="A3" i="43"/>
  <c r="A13" i="43"/>
  <c r="A9" i="43"/>
  <c r="A18" i="43"/>
  <c r="A2" i="43"/>
  <c r="A11" i="43"/>
  <c r="A17" i="43"/>
  <c r="A15" i="43"/>
  <c r="A16" i="43"/>
  <c r="A14" i="43"/>
  <c r="A10" i="43"/>
  <c r="F98" i="9"/>
  <c r="E98" i="9"/>
  <c r="E96" i="9" s="1"/>
  <c r="C109" i="21"/>
  <c r="D109" i="21"/>
  <c r="C22" i="19"/>
  <c r="C22" i="17"/>
  <c r="C22" i="9"/>
  <c r="D22" i="9" s="1"/>
  <c r="D23" i="40" s="1"/>
  <c r="D30" i="40" s="1"/>
  <c r="D62" i="40" s="1"/>
  <c r="C23" i="21"/>
  <c r="C22" i="18"/>
  <c r="C27" i="21"/>
  <c r="D27" i="21" s="1"/>
  <c r="E27" i="21" s="1"/>
  <c r="C26" i="17"/>
  <c r="D26" i="17" s="1"/>
  <c r="E26" i="17" s="1"/>
  <c r="F26" i="17" s="1"/>
  <c r="G26" i="17" s="1"/>
  <c r="H26" i="17" s="1"/>
  <c r="I26" i="17" s="1"/>
  <c r="J26" i="17" s="1"/>
  <c r="K26" i="17" s="1"/>
  <c r="L26" i="17" s="1"/>
  <c r="M26" i="17" s="1"/>
  <c r="N26" i="17" s="1"/>
  <c r="O26" i="17" s="1"/>
  <c r="P26" i="17" s="1"/>
  <c r="Q26" i="17" s="1"/>
  <c r="R26" i="17" s="1"/>
  <c r="S26" i="17" s="1"/>
  <c r="T26" i="17" s="1"/>
  <c r="U26" i="17" s="1"/>
  <c r="V26" i="17" s="1"/>
  <c r="W26" i="17" s="1"/>
  <c r="C26" i="18"/>
  <c r="D26" i="18" s="1"/>
  <c r="E26" i="18" s="1"/>
  <c r="F26" i="18" s="1"/>
  <c r="G26" i="18" s="1"/>
  <c r="H26" i="18" s="1"/>
  <c r="I26" i="18" s="1"/>
  <c r="J26" i="18" s="1"/>
  <c r="K26" i="18" s="1"/>
  <c r="L26" i="18" s="1"/>
  <c r="M26" i="18" s="1"/>
  <c r="N26" i="18" s="1"/>
  <c r="O26" i="18" s="1"/>
  <c r="P26" i="18" s="1"/>
  <c r="Q26" i="18" s="1"/>
  <c r="R26" i="18" s="1"/>
  <c r="S26" i="18" s="1"/>
  <c r="T26" i="18" s="1"/>
  <c r="U26" i="18" s="1"/>
  <c r="V26" i="18" s="1"/>
  <c r="W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S12" i="18" l="1"/>
  <c r="S79" i="40"/>
  <c r="P49" i="9"/>
  <c r="P78" i="9"/>
  <c r="S52" i="40"/>
  <c r="S13" i="40"/>
  <c r="T12" i="40"/>
  <c r="S60" i="40"/>
  <c r="S28" i="44"/>
  <c r="P51" i="9"/>
  <c r="P59" i="9"/>
  <c r="S50" i="40"/>
  <c r="S51" i="40"/>
  <c r="F28" i="44"/>
  <c r="D49" i="18"/>
  <c r="E49" i="18" s="1"/>
  <c r="F49" i="18" s="1"/>
  <c r="G49" i="18" s="1"/>
  <c r="H49" i="18" s="1"/>
  <c r="I49" i="18" s="1"/>
  <c r="J49" i="18" s="1"/>
  <c r="K49" i="18" s="1"/>
  <c r="L49" i="18" s="1"/>
  <c r="M49" i="18" s="1"/>
  <c r="N49" i="18" s="1"/>
  <c r="O49" i="18" s="1"/>
  <c r="P49" i="18" s="1"/>
  <c r="Q49" i="18" s="1"/>
  <c r="R49" i="18" s="1"/>
  <c r="S49" i="18" s="1"/>
  <c r="Q12" i="9"/>
  <c r="Q43" i="44"/>
  <c r="F27" i="21"/>
  <c r="F15" i="44"/>
  <c r="D59" i="40"/>
  <c r="D77" i="40" s="1"/>
  <c r="E101" i="40"/>
  <c r="E106" i="40" s="1"/>
  <c r="E27" i="19"/>
  <c r="F96" i="9"/>
  <c r="D22" i="17"/>
  <c r="D23" i="21"/>
  <c r="E22" i="9"/>
  <c r="E23" i="40" s="1"/>
  <c r="E30" i="40" s="1"/>
  <c r="E62" i="40" s="1"/>
  <c r="E59"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U12" i="40" l="1"/>
  <c r="U60" i="40" s="1"/>
  <c r="T79" i="40"/>
  <c r="T28" i="44"/>
  <c r="Q49" i="9"/>
  <c r="Q78" i="9"/>
  <c r="T12" i="18"/>
  <c r="T60" i="40"/>
  <c r="T13" i="40"/>
  <c r="T52" i="40"/>
  <c r="T50" i="40"/>
  <c r="T51" i="40"/>
  <c r="F26" i="9"/>
  <c r="F49" i="44"/>
  <c r="R12" i="9"/>
  <c r="R43" i="44"/>
  <c r="Q51" i="9"/>
  <c r="Q59" i="9"/>
  <c r="F34" i="44"/>
  <c r="G27" i="21"/>
  <c r="G15" i="44"/>
  <c r="F101" i="40"/>
  <c r="F106" i="40" s="1"/>
  <c r="F59" i="18"/>
  <c r="F27" i="19"/>
  <c r="F22" i="9"/>
  <c r="F23" i="40" s="1"/>
  <c r="E22" i="17"/>
  <c r="E23" i="21"/>
  <c r="E50" i="17"/>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F50" i="18"/>
  <c r="E29" i="9"/>
  <c r="E61" i="9" s="1"/>
  <c r="F44" i="44" s="1"/>
  <c r="H50" i="9"/>
  <c r="D22" i="18"/>
  <c r="E50" i="18"/>
  <c r="D29" i="9"/>
  <c r="D61" i="9" s="1"/>
  <c r="F51" i="21"/>
  <c r="D22" i="19"/>
  <c r="E51" i="19"/>
  <c r="E51" i="21"/>
  <c r="V12" i="40" l="1"/>
  <c r="V79" i="40" s="1"/>
  <c r="U28" i="44"/>
  <c r="T49" i="18"/>
  <c r="U13" i="40"/>
  <c r="U79" i="40"/>
  <c r="U12" i="18"/>
  <c r="U52" i="40"/>
  <c r="R49" i="9"/>
  <c r="R78" i="9"/>
  <c r="U51" i="40"/>
  <c r="U50" i="40"/>
  <c r="S12" i="9"/>
  <c r="S43" i="44"/>
  <c r="R59" i="9"/>
  <c r="R51" i="9"/>
  <c r="G26" i="9"/>
  <c r="G49" i="44"/>
  <c r="G34" i="44"/>
  <c r="H27" i="21"/>
  <c r="H15" i="44"/>
  <c r="G27" i="19"/>
  <c r="F30" i="40"/>
  <c r="F62" i="40" s="1"/>
  <c r="G23" i="40"/>
  <c r="G22" i="9"/>
  <c r="F22" i="17"/>
  <c r="F23" i="21"/>
  <c r="F50" i="17"/>
  <c r="D29" i="17"/>
  <c r="D61" i="17" s="1"/>
  <c r="G50" i="18"/>
  <c r="I50" i="9"/>
  <c r="E22" i="18"/>
  <c r="F22" i="18" s="1"/>
  <c r="D29" i="18"/>
  <c r="D61" i="18" s="1"/>
  <c r="D23" i="18"/>
  <c r="F29" i="9"/>
  <c r="F61" i="9" s="1"/>
  <c r="G44" i="44" s="1"/>
  <c r="G50" i="17"/>
  <c r="E30" i="21"/>
  <c r="E62" i="21" s="1"/>
  <c r="F8" i="44" s="1"/>
  <c r="E22" i="19"/>
  <c r="D30" i="19"/>
  <c r="D62" i="19" s="1"/>
  <c r="D23" i="19"/>
  <c r="D30" i="21"/>
  <c r="D62" i="21" s="1"/>
  <c r="F51" i="19"/>
  <c r="G51" i="21"/>
  <c r="V12" i="18" l="1"/>
  <c r="W28" i="44" s="1"/>
  <c r="V60" i="40"/>
  <c r="V13" i="40"/>
  <c r="V52" i="40"/>
  <c r="W12" i="40"/>
  <c r="W79" i="40" s="1"/>
  <c r="V28" i="44"/>
  <c r="U49" i="18"/>
  <c r="S49" i="9"/>
  <c r="S78" i="9"/>
  <c r="V50" i="40"/>
  <c r="V51" i="40"/>
  <c r="H26" i="9"/>
  <c r="H49" i="44"/>
  <c r="T12" i="9"/>
  <c r="T43" i="44"/>
  <c r="S59" i="9"/>
  <c r="S51" i="9"/>
  <c r="H34" i="44"/>
  <c r="I27" i="21"/>
  <c r="I15" i="44"/>
  <c r="F59" i="40"/>
  <c r="H27" i="19"/>
  <c r="G24" i="40"/>
  <c r="G30" i="40"/>
  <c r="H22" i="9"/>
  <c r="H23" i="9" s="1"/>
  <c r="G29" i="9"/>
  <c r="G61" i="9" s="1"/>
  <c r="H44" i="44" s="1"/>
  <c r="F29" i="18"/>
  <c r="F61" i="18" s="1"/>
  <c r="F23" i="18"/>
  <c r="E29" i="18"/>
  <c r="E61" i="18" s="1"/>
  <c r="E23" i="18"/>
  <c r="J50" i="9"/>
  <c r="E29" i="17"/>
  <c r="E61" i="17" s="1"/>
  <c r="G51" i="19"/>
  <c r="F22" i="19"/>
  <c r="F30" i="21"/>
  <c r="F62" i="21" s="1"/>
  <c r="G8" i="44" s="1"/>
  <c r="E23" i="19"/>
  <c r="E30" i="19"/>
  <c r="E62" i="19" s="1"/>
  <c r="V49" i="18" l="1"/>
  <c r="C2" i="43" a="1"/>
  <c r="C2" i="43" s="1"/>
  <c r="W12" i="18"/>
  <c r="X28" i="44" s="1"/>
  <c r="W13" i="40"/>
  <c r="W60" i="40"/>
  <c r="W52" i="40"/>
  <c r="T49" i="9"/>
  <c r="T78" i="9"/>
  <c r="W50" i="40"/>
  <c r="W51" i="40"/>
  <c r="F33" i="44"/>
  <c r="U12" i="9"/>
  <c r="U43" i="44"/>
  <c r="T51" i="9"/>
  <c r="T59" i="9"/>
  <c r="H32" i="9"/>
  <c r="I52" i="44" s="1"/>
  <c r="I50" i="44"/>
  <c r="I26" i="9"/>
  <c r="I49" i="44"/>
  <c r="I34" i="44"/>
  <c r="J27" i="21"/>
  <c r="J15" i="44"/>
  <c r="G106" i="40"/>
  <c r="I27" i="19"/>
  <c r="G62" i="40"/>
  <c r="H51" i="40"/>
  <c r="H23" i="40" s="1"/>
  <c r="G33" i="40"/>
  <c r="H29" i="9"/>
  <c r="H61" i="9" s="1"/>
  <c r="I44" i="44" s="1"/>
  <c r="I22" i="9"/>
  <c r="I23" i="9" s="1"/>
  <c r="J50" i="44" s="1"/>
  <c r="F29" i="17"/>
  <c r="F61" i="17" s="1"/>
  <c r="K50" i="9"/>
  <c r="F30" i="19"/>
  <c r="F62" i="19" s="1"/>
  <c r="F23" i="19"/>
  <c r="W49" i="18" l="1"/>
  <c r="U49" i="9"/>
  <c r="U78" i="9"/>
  <c r="G33" i="44"/>
  <c r="V43" i="44"/>
  <c r="V12" i="9"/>
  <c r="U59" i="9"/>
  <c r="U51" i="9"/>
  <c r="J49" i="44"/>
  <c r="J26" i="9"/>
  <c r="J34" i="44"/>
  <c r="K27" i="21"/>
  <c r="K15" i="44"/>
  <c r="G59" i="40"/>
  <c r="J27" i="19"/>
  <c r="H24" i="40"/>
  <c r="H30" i="40"/>
  <c r="J22" i="9"/>
  <c r="K22" i="9" s="1"/>
  <c r="I29" i="9"/>
  <c r="I61" i="9" s="1"/>
  <c r="J44" i="44" s="1"/>
  <c r="L50" i="9"/>
  <c r="V49" i="9" l="1"/>
  <c r="V78" i="9"/>
  <c r="H33" i="40"/>
  <c r="K26" i="9"/>
  <c r="K29" i="9" s="1"/>
  <c r="K61" i="9" s="1"/>
  <c r="L44" i="44" s="1"/>
  <c r="K49" i="44"/>
  <c r="V51" i="9"/>
  <c r="W43" i="44"/>
  <c r="W12" i="9"/>
  <c r="V59" i="9"/>
  <c r="K34" i="44"/>
  <c r="L27" i="21"/>
  <c r="L15" i="44"/>
  <c r="K27" i="19"/>
  <c r="H62" i="40"/>
  <c r="I51" i="40"/>
  <c r="I23" i="40" s="1"/>
  <c r="J23" i="9"/>
  <c r="K50" i="44" s="1"/>
  <c r="J29" i="9"/>
  <c r="J61" i="9" s="1"/>
  <c r="K44" i="44" s="1"/>
  <c r="K23" i="9"/>
  <c r="L50" i="44" s="1"/>
  <c r="M50" i="9"/>
  <c r="L22" i="9"/>
  <c r="W49" i="9" l="1"/>
  <c r="W78" i="9"/>
  <c r="X43" i="44"/>
  <c r="W51" i="9"/>
  <c r="W59" i="9"/>
  <c r="L26" i="9"/>
  <c r="L29" i="9" s="1"/>
  <c r="L61" i="9" s="1"/>
  <c r="M44" i="44" s="1"/>
  <c r="L49" i="44"/>
  <c r="L34" i="44"/>
  <c r="M27" i="21"/>
  <c r="M15" i="44"/>
  <c r="H59" i="40"/>
  <c r="L27" i="19"/>
  <c r="I24" i="40"/>
  <c r="I30" i="40"/>
  <c r="M22" i="9"/>
  <c r="N50" i="9"/>
  <c r="L23" i="9"/>
  <c r="M50" i="44" s="1"/>
  <c r="I33" i="40" l="1"/>
  <c r="M26" i="9"/>
  <c r="M29" i="9" s="1"/>
  <c r="M61" i="9" s="1"/>
  <c r="N44" i="44" s="1"/>
  <c r="M49" i="44"/>
  <c r="M34" i="44"/>
  <c r="N27" i="21"/>
  <c r="N15" i="44"/>
  <c r="M27" i="19"/>
  <c r="I62" i="40"/>
  <c r="I59" i="40" s="1"/>
  <c r="J51" i="40"/>
  <c r="J23" i="40" s="1"/>
  <c r="O50" i="9"/>
  <c r="N22" i="9"/>
  <c r="M23" i="9"/>
  <c r="N50" i="44" s="1"/>
  <c r="N26" i="9" l="1"/>
  <c r="N29" i="9" s="1"/>
  <c r="N61" i="9" s="1"/>
  <c r="O44" i="44" s="1"/>
  <c r="N49" i="44"/>
  <c r="N34" i="44"/>
  <c r="O27" i="21"/>
  <c r="O15" i="44"/>
  <c r="N27" i="19"/>
  <c r="J30" i="40"/>
  <c r="J24" i="40"/>
  <c r="O22" i="9"/>
  <c r="P50" i="9"/>
  <c r="N23" i="9"/>
  <c r="O50" i="44" s="1"/>
  <c r="J33" i="40" l="1"/>
  <c r="O26" i="9"/>
  <c r="O49" i="44"/>
  <c r="O34" i="44"/>
  <c r="P27" i="21"/>
  <c r="P15" i="44"/>
  <c r="O27" i="19"/>
  <c r="J62" i="40"/>
  <c r="J59" i="40" s="1"/>
  <c r="K51" i="40"/>
  <c r="K23" i="40" s="1"/>
  <c r="P22" i="9"/>
  <c r="Q50" i="9"/>
  <c r="O23" i="9"/>
  <c r="P50" i="44" s="1"/>
  <c r="O29" i="9"/>
  <c r="O61" i="9" s="1"/>
  <c r="P44" i="44" s="1"/>
  <c r="P26" i="9" l="1"/>
  <c r="P49" i="44"/>
  <c r="P34" i="44"/>
  <c r="Q27" i="21"/>
  <c r="Q15" i="44"/>
  <c r="P27" i="19"/>
  <c r="K30" i="40"/>
  <c r="K24" i="40"/>
  <c r="R50" i="9"/>
  <c r="Q22" i="9"/>
  <c r="P29" i="9"/>
  <c r="P61" i="9" s="1"/>
  <c r="Q44" i="44" s="1"/>
  <c r="P23" i="9"/>
  <c r="Q50" i="44" s="1"/>
  <c r="K33" i="40" l="1"/>
  <c r="Q26" i="9"/>
  <c r="Q49" i="44"/>
  <c r="Q34" i="44"/>
  <c r="R27" i="21"/>
  <c r="R15" i="44"/>
  <c r="Q27" i="19"/>
  <c r="K62" i="40"/>
  <c r="L51" i="40"/>
  <c r="L23" i="40" s="1"/>
  <c r="S50" i="9"/>
  <c r="R22" i="9"/>
  <c r="Q29" i="9"/>
  <c r="Q61" i="9" s="1"/>
  <c r="R44" i="44" s="1"/>
  <c r="Q23" i="9"/>
  <c r="R50" i="44" s="1"/>
  <c r="R26" i="9" l="1"/>
  <c r="R29" i="9" s="1"/>
  <c r="R61" i="9" s="1"/>
  <c r="S44" i="44" s="1"/>
  <c r="R49" i="44"/>
  <c r="R34" i="44"/>
  <c r="S27" i="21"/>
  <c r="S15" i="44"/>
  <c r="R27" i="19"/>
  <c r="L30" i="40"/>
  <c r="L24" i="40"/>
  <c r="L33" i="40" s="1"/>
  <c r="R23" i="9"/>
  <c r="S50" i="44" s="1"/>
  <c r="T50" i="9"/>
  <c r="S22" i="9"/>
  <c r="S26" i="9" l="1"/>
  <c r="S29" i="9" s="1"/>
  <c r="S61" i="9" s="1"/>
  <c r="T44" i="44" s="1"/>
  <c r="S49" i="44"/>
  <c r="S34" i="44"/>
  <c r="T27" i="21"/>
  <c r="T15" i="44"/>
  <c r="S27" i="19"/>
  <c r="L62" i="40"/>
  <c r="M51" i="40"/>
  <c r="M23" i="40" s="1"/>
  <c r="U50" i="9"/>
  <c r="S23" i="9"/>
  <c r="T50" i="44" s="1"/>
  <c r="T22" i="9"/>
  <c r="T26" i="9" l="1"/>
  <c r="T49" i="44"/>
  <c r="T34" i="44"/>
  <c r="U15" i="44"/>
  <c r="U27" i="21"/>
  <c r="T27" i="19"/>
  <c r="M30" i="40"/>
  <c r="M24" i="40"/>
  <c r="M33" i="40" s="1"/>
  <c r="V50" i="9"/>
  <c r="U22" i="9"/>
  <c r="U23" i="9" s="1"/>
  <c r="V50" i="44" s="1"/>
  <c r="T29" i="9"/>
  <c r="T61" i="9" s="1"/>
  <c r="U44" i="44" s="1"/>
  <c r="T23" i="9"/>
  <c r="U50" i="44" s="1"/>
  <c r="U26" i="9" l="1"/>
  <c r="U49" i="44"/>
  <c r="U34" i="44"/>
  <c r="V27" i="21"/>
  <c r="V15" i="44"/>
  <c r="U27" i="19"/>
  <c r="M62" i="40"/>
  <c r="N51" i="40"/>
  <c r="N23" i="40" s="1"/>
  <c r="O51" i="40"/>
  <c r="V22" i="9"/>
  <c r="V23" i="9" s="1"/>
  <c r="W50" i="44" s="1"/>
  <c r="W50" i="9"/>
  <c r="U29" i="9"/>
  <c r="U61" i="9" s="1"/>
  <c r="V44" i="44" s="1"/>
  <c r="V34" i="44" l="1"/>
  <c r="V26" i="9"/>
  <c r="V29" i="9" s="1"/>
  <c r="V61" i="9" s="1"/>
  <c r="W44" i="44" s="1"/>
  <c r="V49" i="44"/>
  <c r="W27" i="21"/>
  <c r="X15" i="44" s="1"/>
  <c r="W15" i="44"/>
  <c r="V27" i="19"/>
  <c r="O23" i="40"/>
  <c r="N24" i="40"/>
  <c r="N33" i="40" s="1"/>
  <c r="N30" i="40"/>
  <c r="N62" i="40" s="1"/>
  <c r="W22" i="9"/>
  <c r="W23" i="9" s="1"/>
  <c r="X50" i="44" s="1"/>
  <c r="W34" i="44" l="1"/>
  <c r="W26" i="9"/>
  <c r="X49" i="44" s="1"/>
  <c r="W49" i="44"/>
  <c r="W27" i="19"/>
  <c r="O24" i="40"/>
  <c r="O33" i="40" s="1"/>
  <c r="P23" i="40"/>
  <c r="O30" i="40"/>
  <c r="O62" i="40" s="1"/>
  <c r="W29" i="9" l="1"/>
  <c r="W61" i="9" s="1"/>
  <c r="X44" i="44" s="1"/>
  <c r="X34" i="44"/>
  <c r="P30" i="40"/>
  <c r="P62" i="40" s="1"/>
  <c r="Q23" i="40"/>
  <c r="P24" i="40"/>
  <c r="P33" i="40" s="1"/>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24" i="40" l="1"/>
  <c r="Q33" i="40" s="1"/>
  <c r="Q30" i="40"/>
  <c r="Q62" i="40" s="1"/>
  <c r="R23" i="40"/>
  <c r="Q72" i="17"/>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S23" i="40" l="1"/>
  <c r="R24" i="40"/>
  <c r="R33" i="40" s="1"/>
  <c r="R30" i="40"/>
  <c r="R62" i="40" s="1"/>
  <c r="D93" i="19"/>
  <c r="C93" i="19"/>
  <c r="S24" i="40" l="1"/>
  <c r="S33" i="40" s="1"/>
  <c r="T23" i="40"/>
  <c r="S30" i="40"/>
  <c r="S62" i="40" s="1"/>
  <c r="F71" i="18"/>
  <c r="F72" i="19"/>
  <c r="F72" i="21"/>
  <c r="G14" i="44" s="1"/>
  <c r="F71" i="17"/>
  <c r="E72" i="19"/>
  <c r="E71" i="17"/>
  <c r="E71" i="9"/>
  <c r="E72" i="21"/>
  <c r="F14" i="44" s="1"/>
  <c r="E71" i="18"/>
  <c r="D72" i="19"/>
  <c r="D71" i="17"/>
  <c r="D72" i="21"/>
  <c r="D71" i="18"/>
  <c r="U23" i="40" l="1"/>
  <c r="T24" i="40"/>
  <c r="T30" i="40"/>
  <c r="T62" i="40" s="1"/>
  <c r="C20" i="8"/>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N32" i="9"/>
  <c r="O52" i="44" s="1"/>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3" i="21" s="1"/>
  <c r="C41" i="18"/>
  <c r="C41" i="17"/>
  <c r="O20" i="8"/>
  <c r="D42" i="21"/>
  <c r="D113" i="21" s="1"/>
  <c r="D42" i="19"/>
  <c r="D98" i="19" s="1"/>
  <c r="D41" i="17"/>
  <c r="D41" i="9"/>
  <c r="D101" i="9" s="1"/>
  <c r="D41" i="18"/>
  <c r="V65" i="19"/>
  <c r="V18" i="19"/>
  <c r="V65" i="21"/>
  <c r="V64" i="9"/>
  <c r="V19" i="21"/>
  <c r="V64" i="17"/>
  <c r="V18" i="18"/>
  <c r="V18" i="9"/>
  <c r="V18" i="17"/>
  <c r="V64" i="18"/>
  <c r="T33" i="40" l="1"/>
  <c r="F101" i="9"/>
  <c r="G51" i="44"/>
  <c r="E101" i="9"/>
  <c r="F51" i="44"/>
  <c r="F33" i="21"/>
  <c r="G18" i="44" s="1"/>
  <c r="G17" i="44"/>
  <c r="E63" i="21"/>
  <c r="E59" i="21" s="1"/>
  <c r="F9" i="44"/>
  <c r="D32" i="18"/>
  <c r="D68" i="18" s="1"/>
  <c r="D97" i="18"/>
  <c r="D32" i="17"/>
  <c r="D67" i="17" s="1"/>
  <c r="D97" i="17"/>
  <c r="C32" i="17"/>
  <c r="C97" i="17"/>
  <c r="C32" i="18"/>
  <c r="C97" i="18"/>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7" i="17"/>
  <c r="D18" i="40"/>
  <c r="P18" i="40"/>
  <c r="P64" i="40"/>
  <c r="P59" i="40" s="1"/>
  <c r="O18" i="40"/>
  <c r="O64" i="40"/>
  <c r="O59" i="40" s="1"/>
  <c r="Q18" i="40"/>
  <c r="Q64" i="40"/>
  <c r="Q59" i="40" s="1"/>
  <c r="W18" i="40"/>
  <c r="W64" i="40"/>
  <c r="C17" i="19"/>
  <c r="C18" i="40"/>
  <c r="H63" i="9"/>
  <c r="H58" i="9" s="1"/>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58" i="9" s="1"/>
  <c r="S17" i="18"/>
  <c r="T18" i="21"/>
  <c r="U17" i="18"/>
  <c r="J17" i="19"/>
  <c r="S17" i="9"/>
  <c r="J17" i="9"/>
  <c r="D17" i="19"/>
  <c r="J17" i="17"/>
  <c r="D17" i="9"/>
  <c r="J17" i="18"/>
  <c r="D18" i="21"/>
  <c r="D17" i="18"/>
  <c r="S17" i="17"/>
  <c r="U17" i="17"/>
  <c r="U18" i="21"/>
  <c r="S63" i="18"/>
  <c r="T64" i="19"/>
  <c r="S64" i="19"/>
  <c r="S17" i="19"/>
  <c r="W17" i="18"/>
  <c r="W64" i="19"/>
  <c r="W18" i="21"/>
  <c r="W63" i="18"/>
  <c r="W17" i="19"/>
  <c r="W63" i="9"/>
  <c r="W58" i="9" s="1"/>
  <c r="U63" i="18"/>
  <c r="U64" i="19"/>
  <c r="T63" i="9"/>
  <c r="T58" i="9" s="1"/>
  <c r="D33" i="19"/>
  <c r="D69" i="19" s="1"/>
  <c r="E32" i="9"/>
  <c r="F52" i="44" s="1"/>
  <c r="O63" i="9"/>
  <c r="O58" i="9" s="1"/>
  <c r="F17" i="19"/>
  <c r="F17" i="17"/>
  <c r="F17" i="9"/>
  <c r="F17" i="18"/>
  <c r="F18" i="21"/>
  <c r="F33" i="19"/>
  <c r="L17" i="18"/>
  <c r="L18" i="21"/>
  <c r="L17" i="9"/>
  <c r="L63" i="18"/>
  <c r="L64" i="19"/>
  <c r="L17" i="19"/>
  <c r="L17" i="17"/>
  <c r="L63" i="9"/>
  <c r="L58" i="9" s="1"/>
  <c r="V42" i="21"/>
  <c r="V42" i="19"/>
  <c r="V41" i="18"/>
  <c r="V41" i="17"/>
  <c r="V32" i="9"/>
  <c r="W52" i="44" s="1"/>
  <c r="O41" i="18"/>
  <c r="O42" i="19"/>
  <c r="O32" i="9"/>
  <c r="P52" i="44" s="1"/>
  <c r="O41" i="17"/>
  <c r="D33" i="21"/>
  <c r="D69" i="21" s="1"/>
  <c r="F32" i="18"/>
  <c r="C84" i="19"/>
  <c r="D70" i="19"/>
  <c r="R41" i="18"/>
  <c r="R42" i="21"/>
  <c r="R41" i="17"/>
  <c r="R42" i="19"/>
  <c r="R32" i="9"/>
  <c r="S52" i="44" s="1"/>
  <c r="W42" i="21"/>
  <c r="W32" i="9"/>
  <c r="X52" i="44" s="1"/>
  <c r="W41" i="17"/>
  <c r="W41" i="18"/>
  <c r="W42" i="19"/>
  <c r="D69" i="17"/>
  <c r="C83" i="17"/>
  <c r="V63" i="18"/>
  <c r="V18" i="21"/>
  <c r="V17" i="9"/>
  <c r="V17" i="19"/>
  <c r="V64" i="19"/>
  <c r="V17" i="17"/>
  <c r="V17" i="18"/>
  <c r="V63" i="9"/>
  <c r="V58" i="9" s="1"/>
  <c r="C33" i="21"/>
  <c r="F32" i="9"/>
  <c r="G52" i="44" s="1"/>
  <c r="C100" i="21"/>
  <c r="D70" i="21"/>
  <c r="S41" i="17"/>
  <c r="S42" i="21"/>
  <c r="S42" i="19"/>
  <c r="S32" i="9"/>
  <c r="T52" i="44" s="1"/>
  <c r="S41" i="18"/>
  <c r="C33" i="19"/>
  <c r="P18" i="21"/>
  <c r="P63" i="9"/>
  <c r="P58" i="9" s="1"/>
  <c r="P63" i="18"/>
  <c r="P17" i="19"/>
  <c r="P17" i="18"/>
  <c r="P17" i="17"/>
  <c r="P17" i="9"/>
  <c r="P64" i="19"/>
  <c r="I17" i="19"/>
  <c r="I17" i="17"/>
  <c r="I18" i="21"/>
  <c r="I17" i="9"/>
  <c r="I17" i="18"/>
  <c r="I63" i="9"/>
  <c r="I58" i="9" s="1"/>
  <c r="C83" i="18"/>
  <c r="D69" i="18"/>
  <c r="U42" i="21"/>
  <c r="U41" i="17"/>
  <c r="U41" i="18"/>
  <c r="U42" i="19"/>
  <c r="U32" i="9"/>
  <c r="V52" i="44" s="1"/>
  <c r="M63" i="18"/>
  <c r="M17" i="9"/>
  <c r="M17" i="18"/>
  <c r="M17" i="19"/>
  <c r="M17" i="17"/>
  <c r="M64" i="19"/>
  <c r="M63" i="9"/>
  <c r="M58" i="9" s="1"/>
  <c r="M18" i="21"/>
  <c r="J63" i="9"/>
  <c r="J58" i="9" s="1"/>
  <c r="C32" i="9"/>
  <c r="E33" i="19"/>
  <c r="C87" i="9"/>
  <c r="D69" i="9"/>
  <c r="R63" i="18"/>
  <c r="R18" i="21"/>
  <c r="R17" i="19"/>
  <c r="R17" i="9"/>
  <c r="R63" i="9"/>
  <c r="R58" i="9" s="1"/>
  <c r="R64" i="19"/>
  <c r="R17" i="18"/>
  <c r="R17" i="17"/>
  <c r="Q41" i="17"/>
  <c r="Q32" i="9"/>
  <c r="R52" i="44" s="1"/>
  <c r="Q42" i="19"/>
  <c r="Q41" i="18"/>
  <c r="Q42" i="21"/>
  <c r="N17" i="19"/>
  <c r="N63" i="9"/>
  <c r="N58" i="9" s="1"/>
  <c r="N17" i="18"/>
  <c r="N17" i="9"/>
  <c r="N18" i="21"/>
  <c r="N17" i="17"/>
  <c r="N64" i="19"/>
  <c r="N63" i="18"/>
  <c r="U63" i="9"/>
  <c r="U58" i="9" s="1"/>
  <c r="Q63" i="9"/>
  <c r="Q58" i="9" s="1"/>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P42" i="19"/>
  <c r="P42" i="21"/>
  <c r="P41" i="17"/>
  <c r="P32" i="9"/>
  <c r="Q52" i="44" s="1"/>
  <c r="P41" i="18"/>
  <c r="K17" i="18"/>
  <c r="K17" i="17"/>
  <c r="K63" i="18"/>
  <c r="K63" i="9"/>
  <c r="K58" i="9" s="1"/>
  <c r="K17" i="19"/>
  <c r="K17" i="9"/>
  <c r="K64" i="19"/>
  <c r="K18" i="21"/>
  <c r="E18" i="21"/>
  <c r="E17" i="18"/>
  <c r="E17" i="19"/>
  <c r="E17" i="17"/>
  <c r="E17" i="9"/>
  <c r="T41" i="17"/>
  <c r="T41" i="18"/>
  <c r="T32" i="9"/>
  <c r="U52" i="44" s="1"/>
  <c r="T42" i="21"/>
  <c r="T42" i="19"/>
  <c r="D67" i="18" l="1"/>
  <c r="X17" i="44"/>
  <c r="Q17" i="44"/>
  <c r="R17" i="44"/>
  <c r="V17" i="44"/>
  <c r="S17" i="44"/>
  <c r="W17" i="44"/>
  <c r="U17" i="44"/>
  <c r="T17" i="44"/>
  <c r="J2" i="43" a="1"/>
  <c r="J2" i="43" s="1"/>
  <c r="K59" i="40"/>
  <c r="D68" i="17"/>
  <c r="U59" i="40"/>
  <c r="W23" i="40"/>
  <c r="V24" i="40"/>
  <c r="V33" i="40" s="1"/>
  <c r="V30" i="40"/>
  <c r="V62" i="40" s="1"/>
  <c r="V59" i="40" s="1"/>
  <c r="D68" i="19"/>
  <c r="D68" i="21"/>
  <c r="D67" i="9"/>
  <c r="D66" i="9" s="1"/>
  <c r="L41" i="18"/>
  <c r="L42" i="19"/>
  <c r="L41" i="17"/>
  <c r="L32" i="9"/>
  <c r="M52" i="44" s="1"/>
  <c r="L42" i="21"/>
  <c r="Q37" i="17"/>
  <c r="Q38" i="19"/>
  <c r="Q38" i="21"/>
  <c r="R12" i="44" s="1"/>
  <c r="Q37" i="18"/>
  <c r="R36" i="17"/>
  <c r="R36" i="18"/>
  <c r="R37" i="19"/>
  <c r="R37" i="21"/>
  <c r="S11" i="44" s="1"/>
  <c r="K42" i="21"/>
  <c r="K41" i="17"/>
  <c r="K41" i="18"/>
  <c r="K32" i="9"/>
  <c r="L52" i="44" s="1"/>
  <c r="K42" i="19"/>
  <c r="O37" i="17"/>
  <c r="U37" i="21"/>
  <c r="V11" i="44" s="1"/>
  <c r="U36" i="17"/>
  <c r="U36" i="18"/>
  <c r="U37" i="19"/>
  <c r="J42" i="21"/>
  <c r="J41" i="18"/>
  <c r="J32" i="9"/>
  <c r="K52" i="44" s="1"/>
  <c r="J42" i="19"/>
  <c r="J41" i="17"/>
  <c r="W38" i="21"/>
  <c r="X12" i="44" s="1"/>
  <c r="W38" i="19"/>
  <c r="W37" i="17"/>
  <c r="W37" i="18"/>
  <c r="S36" i="17"/>
  <c r="S37" i="21"/>
  <c r="T11" i="44" s="1"/>
  <c r="S37" i="19"/>
  <c r="S36" i="18"/>
  <c r="V37" i="17"/>
  <c r="V38" i="19"/>
  <c r="V38" i="21"/>
  <c r="W12" i="44" s="1"/>
  <c r="V37" i="18"/>
  <c r="U38" i="19"/>
  <c r="U37" i="18"/>
  <c r="U38" i="21"/>
  <c r="V12" i="44" s="1"/>
  <c r="U37" i="17"/>
  <c r="V37" i="21"/>
  <c r="W11" i="44" s="1"/>
  <c r="V37" i="19"/>
  <c r="V36" i="18"/>
  <c r="V36" i="17"/>
  <c r="M41" i="17"/>
  <c r="M42" i="21"/>
  <c r="M41" i="18"/>
  <c r="M32" i="9"/>
  <c r="N52" i="44" s="1"/>
  <c r="M42" i="19"/>
  <c r="T37" i="17"/>
  <c r="T38" i="21"/>
  <c r="U12" i="44" s="1"/>
  <c r="T38" i="19"/>
  <c r="T37" i="18"/>
  <c r="R37" i="18"/>
  <c r="R38" i="19"/>
  <c r="R38" i="21"/>
  <c r="S12" i="44" s="1"/>
  <c r="R37" i="17"/>
  <c r="T36" i="18"/>
  <c r="T37" i="19"/>
  <c r="T36" i="17"/>
  <c r="T37" i="21"/>
  <c r="U11" i="44" s="1"/>
  <c r="C14" i="22"/>
  <c r="C15" i="22"/>
  <c r="C18" i="22"/>
  <c r="C17" i="22"/>
  <c r="C16" i="22"/>
  <c r="I32" i="9"/>
  <c r="J52" i="44" s="1"/>
  <c r="I42" i="19"/>
  <c r="I41" i="18"/>
  <c r="I42" i="21"/>
  <c r="I41" i="17"/>
  <c r="S37" i="17"/>
  <c r="S38" i="19"/>
  <c r="S37" i="18"/>
  <c r="S38" i="21"/>
  <c r="T12" i="44" s="1"/>
  <c r="Q36" i="17"/>
  <c r="Q36" i="18"/>
  <c r="Q37" i="19"/>
  <c r="P37" i="19"/>
  <c r="H41" i="18"/>
  <c r="H42" i="19"/>
  <c r="P38" i="21"/>
  <c r="Q12" i="44" s="1"/>
  <c r="P37" i="18"/>
  <c r="P38" i="19"/>
  <c r="P37" i="17"/>
  <c r="W37" i="19"/>
  <c r="W37" i="21"/>
  <c r="X11" i="44" s="1"/>
  <c r="W36" i="18"/>
  <c r="W36" i="17"/>
  <c r="D71" i="40" l="1"/>
  <c r="D67" i="40" s="1"/>
  <c r="D58" i="40" s="1"/>
  <c r="D57" i="40" s="1"/>
  <c r="D70" i="17"/>
  <c r="D66" i="17" s="1"/>
  <c r="D57" i="17" s="1"/>
  <c r="D56" i="17" s="1"/>
  <c r="D83" i="17" s="1"/>
  <c r="D71" i="21"/>
  <c r="D67" i="21" s="1"/>
  <c r="D58" i="21" s="1"/>
  <c r="D57" i="21" s="1"/>
  <c r="D70" i="18"/>
  <c r="D66" i="18" s="1"/>
  <c r="D57" i="18" s="1"/>
  <c r="D56" i="18" s="1"/>
  <c r="D83" i="18" s="1"/>
  <c r="D85" i="18" s="1"/>
  <c r="D71" i="19"/>
  <c r="D67" i="19" s="1"/>
  <c r="X24" i="44"/>
  <c r="W31" i="44"/>
  <c r="X32" i="44"/>
  <c r="V25" i="44"/>
  <c r="V32" i="44"/>
  <c r="W32" i="44"/>
  <c r="W25" i="44"/>
  <c r="V31" i="44"/>
  <c r="X31" i="44"/>
  <c r="V24" i="44"/>
  <c r="W24" i="44"/>
  <c r="X25" i="44"/>
  <c r="J17" i="44"/>
  <c r="K17" i="44"/>
  <c r="U31" i="44"/>
  <c r="T32" i="44"/>
  <c r="T25" i="44"/>
  <c r="S25" i="44"/>
  <c r="S32" i="44"/>
  <c r="S24" i="44"/>
  <c r="U32" i="44"/>
  <c r="S31" i="44"/>
  <c r="Q25" i="44"/>
  <c r="U25" i="44"/>
  <c r="Q31" i="44"/>
  <c r="R31" i="44"/>
  <c r="R32" i="44"/>
  <c r="Q32" i="44"/>
  <c r="T31" i="44"/>
  <c r="R25" i="44"/>
  <c r="R24" i="44"/>
  <c r="U24" i="44"/>
  <c r="T24" i="44"/>
  <c r="L17" i="44"/>
  <c r="N17" i="44"/>
  <c r="M17" i="44"/>
  <c r="P25" i="44"/>
  <c r="H37" i="17"/>
  <c r="W30" i="40"/>
  <c r="W62" i="40" s="1"/>
  <c r="E2" i="43" s="1" a="1"/>
  <c r="E2" i="43" s="1"/>
  <c r="W24" i="40"/>
  <c r="D77" i="21"/>
  <c r="D78" i="21"/>
  <c r="D76" i="9"/>
  <c r="D77" i="9"/>
  <c r="D86" i="18" l="1"/>
  <c r="D84" i="18"/>
  <c r="D87" i="18"/>
  <c r="D88" i="18"/>
  <c r="E69" i="18"/>
  <c r="E67" i="18"/>
  <c r="E68" i="18"/>
  <c r="D11" i="22"/>
  <c r="D15" i="22" s="1"/>
  <c r="E68" i="40"/>
  <c r="E69" i="40"/>
  <c r="D92" i="40"/>
  <c r="E70" i="40"/>
  <c r="F2" i="43" a="1"/>
  <c r="F2" i="43" s="1"/>
  <c r="I25" i="44"/>
  <c r="W33" i="40"/>
  <c r="W59" i="40"/>
  <c r="I37" i="17"/>
  <c r="D57" i="9"/>
  <c r="D56" i="9" s="1"/>
  <c r="D85" i="17"/>
  <c r="D88" i="17"/>
  <c r="D87" i="17"/>
  <c r="D84" i="17"/>
  <c r="D86" i="17"/>
  <c r="D58" i="19"/>
  <c r="D57" i="19" s="1"/>
  <c r="E68" i="21"/>
  <c r="E69" i="21"/>
  <c r="E70" i="21"/>
  <c r="D100" i="21"/>
  <c r="E67" i="17"/>
  <c r="E68" i="17"/>
  <c r="E69" i="17"/>
  <c r="E93" i="18" l="1"/>
  <c r="E94" i="18" s="1"/>
  <c r="E92" i="18" s="1"/>
  <c r="E97" i="18" s="1"/>
  <c r="D95" i="40"/>
  <c r="D93" i="40"/>
  <c r="D87" i="40"/>
  <c r="D88" i="40" s="1"/>
  <c r="D94" i="40"/>
  <c r="D96" i="40"/>
  <c r="D97" i="40"/>
  <c r="E77" i="40"/>
  <c r="E78" i="40"/>
  <c r="J25" i="44"/>
  <c r="F10" i="44"/>
  <c r="E93" i="17"/>
  <c r="E94" i="17" s="1"/>
  <c r="E92" i="17" s="1"/>
  <c r="E97" i="17" s="1"/>
  <c r="D95" i="21"/>
  <c r="D96" i="21" s="1"/>
  <c r="J37" i="17"/>
  <c r="D87" i="9"/>
  <c r="E68" i="9"/>
  <c r="E67" i="9"/>
  <c r="E69" i="9"/>
  <c r="D17" i="22"/>
  <c r="D16" i="22"/>
  <c r="D14" i="22"/>
  <c r="D18" i="22"/>
  <c r="D102" i="21"/>
  <c r="D105" i="21"/>
  <c r="D104" i="21"/>
  <c r="D101" i="21"/>
  <c r="D103" i="21"/>
  <c r="E77" i="21"/>
  <c r="E78" i="21"/>
  <c r="E68" i="19"/>
  <c r="D84" i="19"/>
  <c r="E70" i="19"/>
  <c r="E69" i="19"/>
  <c r="F6" i="44" l="1"/>
  <c r="E102" i="40"/>
  <c r="E103" i="40" s="1"/>
  <c r="F45" i="44"/>
  <c r="K25" i="44"/>
  <c r="E110" i="21"/>
  <c r="E111" i="21" s="1"/>
  <c r="E76" i="9"/>
  <c r="E77" i="9"/>
  <c r="D88" i="9"/>
  <c r="D89" i="9"/>
  <c r="D90" i="9"/>
  <c r="D92" i="9"/>
  <c r="D91" i="9"/>
  <c r="D83" i="9"/>
  <c r="D84" i="9" s="1"/>
  <c r="D87" i="19"/>
  <c r="D89" i="19"/>
  <c r="D85" i="19"/>
  <c r="D86" i="19"/>
  <c r="D88" i="19"/>
  <c r="E66" i="9" l="1"/>
  <c r="E57" i="9" s="1"/>
  <c r="E56" i="9" s="1"/>
  <c r="E71" i="21"/>
  <c r="E67" i="21" s="1"/>
  <c r="E58" i="21" s="1"/>
  <c r="E57" i="21" s="1"/>
  <c r="E71" i="19"/>
  <c r="E67" i="19" s="1"/>
  <c r="E58" i="19" s="1"/>
  <c r="E57" i="19" s="1"/>
  <c r="F69" i="19" s="1"/>
  <c r="E70" i="18"/>
  <c r="E66" i="18" s="1"/>
  <c r="E57" i="18" s="1"/>
  <c r="E56" i="18" s="1"/>
  <c r="E70" i="17"/>
  <c r="E66" i="17" s="1"/>
  <c r="E57" i="17" s="1"/>
  <c r="E56" i="17" s="1"/>
  <c r="E71" i="40"/>
  <c r="E67" i="40" s="1"/>
  <c r="E58" i="40" s="1"/>
  <c r="E57" i="40" s="1"/>
  <c r="F42" i="44"/>
  <c r="E94" i="19"/>
  <c r="E95" i="19" s="1"/>
  <c r="E93" i="19" s="1"/>
  <c r="E98" i="19" s="1"/>
  <c r="D94" i="9"/>
  <c r="E97" i="9"/>
  <c r="F41" i="44" l="1"/>
  <c r="E87" i="9"/>
  <c r="F30" i="44"/>
  <c r="F70" i="19"/>
  <c r="F68" i="19"/>
  <c r="E84" i="19"/>
  <c r="E80" i="19" s="1"/>
  <c r="F67" i="9"/>
  <c r="F76" i="9" s="1"/>
  <c r="F68" i="9"/>
  <c r="F69" i="9"/>
  <c r="F68" i="40"/>
  <c r="E11" i="22"/>
  <c r="F69" i="40"/>
  <c r="F70" i="40"/>
  <c r="E92" i="40"/>
  <c r="F67" i="17"/>
  <c r="F69" i="17"/>
  <c r="E83" i="17"/>
  <c r="F23" i="44"/>
  <c r="F68" i="17"/>
  <c r="F69" i="18"/>
  <c r="F67" i="18"/>
  <c r="F27" i="44"/>
  <c r="F68" i="18"/>
  <c r="E83" i="18"/>
  <c r="F5" i="44"/>
  <c r="F68" i="21"/>
  <c r="F69" i="21"/>
  <c r="F70" i="21"/>
  <c r="F90" i="21"/>
  <c r="E100" i="21"/>
  <c r="G45" i="44"/>
  <c r="D91" i="19"/>
  <c r="D99" i="40"/>
  <c r="D107" i="21"/>
  <c r="D90" i="17"/>
  <c r="D90" i="18"/>
  <c r="D93" i="9"/>
  <c r="D89" i="18" s="1"/>
  <c r="E83" i="9" l="1"/>
  <c r="E92" i="9" s="1"/>
  <c r="F70" i="17"/>
  <c r="F66" i="17" s="1"/>
  <c r="F57" i="17" s="1"/>
  <c r="F56" i="17" s="1"/>
  <c r="F77" i="9"/>
  <c r="E79" i="17"/>
  <c r="E87" i="17" s="1"/>
  <c r="E87" i="40"/>
  <c r="E97" i="40" s="1"/>
  <c r="E95" i="21"/>
  <c r="E104" i="21" s="1"/>
  <c r="E79" i="18"/>
  <c r="E88" i="18" s="1"/>
  <c r="G10" i="44"/>
  <c r="E15" i="22"/>
  <c r="E16" i="22"/>
  <c r="E14" i="22"/>
  <c r="E17" i="22"/>
  <c r="E18" i="22"/>
  <c r="F77" i="40"/>
  <c r="F78" i="40"/>
  <c r="G42" i="44"/>
  <c r="E91" i="9"/>
  <c r="D98" i="40"/>
  <c r="D89" i="17"/>
  <c r="D90" i="19"/>
  <c r="E81" i="19" s="1"/>
  <c r="E87" i="19" s="1"/>
  <c r="D106" i="21"/>
  <c r="E89" i="19"/>
  <c r="E88" i="19"/>
  <c r="E84" i="9" l="1"/>
  <c r="E89" i="9" s="1"/>
  <c r="F71" i="40"/>
  <c r="F67" i="40" s="1"/>
  <c r="F58" i="40" s="1"/>
  <c r="F57" i="40" s="1"/>
  <c r="F71" i="21"/>
  <c r="F67" i="21" s="1"/>
  <c r="F71" i="19"/>
  <c r="F67" i="19" s="1"/>
  <c r="F58" i="19" s="1"/>
  <c r="F57" i="19" s="1"/>
  <c r="G30" i="44" s="1"/>
  <c r="F70" i="18"/>
  <c r="F66" i="18" s="1"/>
  <c r="F57" i="18" s="1"/>
  <c r="F56" i="18" s="1"/>
  <c r="G69" i="18" s="1"/>
  <c r="F66" i="9"/>
  <c r="F57" i="9" s="1"/>
  <c r="F56" i="9" s="1"/>
  <c r="E80" i="17"/>
  <c r="E85" i="17" s="1"/>
  <c r="E88" i="40"/>
  <c r="E94" i="40" s="1"/>
  <c r="G70" i="19"/>
  <c r="E80" i="18"/>
  <c r="E85" i="18" s="1"/>
  <c r="E88" i="17"/>
  <c r="E87" i="18"/>
  <c r="E96" i="40"/>
  <c r="E105" i="21"/>
  <c r="G69" i="40"/>
  <c r="F11" i="22"/>
  <c r="G70" i="40"/>
  <c r="F92" i="40"/>
  <c r="G68" i="40"/>
  <c r="G23" i="44"/>
  <c r="G69" i="17"/>
  <c r="F83" i="17"/>
  <c r="E96" i="21"/>
  <c r="E103" i="21" s="1"/>
  <c r="E90" i="9"/>
  <c r="E88" i="9" s="1"/>
  <c r="E93" i="9" s="1"/>
  <c r="G41" i="44"/>
  <c r="E95" i="40"/>
  <c r="E86" i="19"/>
  <c r="E85" i="19" s="1"/>
  <c r="E91" i="19" s="1"/>
  <c r="F109" i="21"/>
  <c r="E86" i="18" l="1"/>
  <c r="G27" i="44"/>
  <c r="F83" i="18"/>
  <c r="F79" i="18" s="1"/>
  <c r="F88" i="18" s="1"/>
  <c r="G67" i="9"/>
  <c r="G71" i="40" s="1"/>
  <c r="G67" i="40" s="1"/>
  <c r="G58" i="40" s="1"/>
  <c r="G57" i="40" s="1"/>
  <c r="G69" i="9"/>
  <c r="G68" i="9"/>
  <c r="F87" i="9"/>
  <c r="F84" i="19"/>
  <c r="F80" i="19" s="1"/>
  <c r="F89" i="19" s="1"/>
  <c r="E86" i="17"/>
  <c r="E84" i="17" s="1"/>
  <c r="F93" i="17" s="1"/>
  <c r="F94" i="17" s="1"/>
  <c r="F92" i="17" s="1"/>
  <c r="F97" i="17" s="1"/>
  <c r="E102" i="21"/>
  <c r="E101" i="21" s="1"/>
  <c r="F61" i="44"/>
  <c r="F113" i="21"/>
  <c r="G78" i="40"/>
  <c r="G77" i="40"/>
  <c r="F87" i="40"/>
  <c r="F96" i="40" s="1"/>
  <c r="F79" i="17"/>
  <c r="F87" i="17" s="1"/>
  <c r="E93" i="40"/>
  <c r="E99" i="40" s="1"/>
  <c r="F94" i="19"/>
  <c r="F95" i="19" s="1"/>
  <c r="F93" i="19" s="1"/>
  <c r="F98" i="19" s="1"/>
  <c r="F97" i="9"/>
  <c r="E94" i="9"/>
  <c r="E84" i="18"/>
  <c r="E90" i="18" s="1"/>
  <c r="E90" i="19"/>
  <c r="G77" i="9" l="1"/>
  <c r="H45" i="44"/>
  <c r="F81" i="19"/>
  <c r="F87" i="19" s="1"/>
  <c r="G76" i="9"/>
  <c r="H42" i="44" s="1"/>
  <c r="G70" i="17"/>
  <c r="G71" i="21"/>
  <c r="G70" i="18"/>
  <c r="G71" i="19"/>
  <c r="G66" i="9"/>
  <c r="G57" i="9" s="1"/>
  <c r="G56" i="9" s="1"/>
  <c r="F88" i="19"/>
  <c r="F110" i="21"/>
  <c r="F111" i="21" s="1"/>
  <c r="F58" i="44"/>
  <c r="F60" i="44"/>
  <c r="F59" i="44"/>
  <c r="F87" i="18"/>
  <c r="F88" i="17"/>
  <c r="E89" i="17"/>
  <c r="H70" i="40"/>
  <c r="H69" i="40"/>
  <c r="G92" i="40"/>
  <c r="G11" i="22"/>
  <c r="F97" i="40"/>
  <c r="E90" i="17"/>
  <c r="E98" i="40"/>
  <c r="F88" i="40" s="1"/>
  <c r="F95" i="40" s="1"/>
  <c r="F102" i="40"/>
  <c r="F103" i="40" s="1"/>
  <c r="F93" i="18"/>
  <c r="F94" i="18" s="1"/>
  <c r="F92" i="18" s="1"/>
  <c r="F97" i="18" s="1"/>
  <c r="E89" i="18"/>
  <c r="F80" i="18" s="1"/>
  <c r="F86" i="18" s="1"/>
  <c r="E106" i="21"/>
  <c r="F62" i="44" s="1"/>
  <c r="E107" i="21"/>
  <c r="F86" i="19"/>
  <c r="F85" i="19" s="1"/>
  <c r="F83" i="9"/>
  <c r="F91" i="19" l="1"/>
  <c r="F80" i="17"/>
  <c r="F85" i="17" s="1"/>
  <c r="F94" i="40"/>
  <c r="F93" i="40" s="1"/>
  <c r="G87" i="40"/>
  <c r="G97" i="40" s="1"/>
  <c r="G87" i="9"/>
  <c r="H41" i="44"/>
  <c r="G94" i="19"/>
  <c r="G95" i="19" s="1"/>
  <c r="G93" i="19" s="1"/>
  <c r="H69" i="9"/>
  <c r="F85" i="18"/>
  <c r="F84" i="18" s="1"/>
  <c r="F90" i="18" s="1"/>
  <c r="H68" i="9"/>
  <c r="F86" i="17"/>
  <c r="F91" i="9"/>
  <c r="F90" i="19"/>
  <c r="F84" i="9"/>
  <c r="F89" i="9" s="1"/>
  <c r="F92" i="9"/>
  <c r="F99" i="40" l="1"/>
  <c r="F98" i="40"/>
  <c r="G102" i="40"/>
  <c r="G103" i="40" s="1"/>
  <c r="G96" i="40"/>
  <c r="F84" i="17"/>
  <c r="G93" i="17" s="1"/>
  <c r="G94" i="17" s="1"/>
  <c r="G92" i="17" s="1"/>
  <c r="G93" i="18"/>
  <c r="G94" i="18" s="1"/>
  <c r="G92" i="18" s="1"/>
  <c r="F89" i="18"/>
  <c r="F90" i="9"/>
  <c r="F88" i="9" s="1"/>
  <c r="G88" i="40" l="1"/>
  <c r="F90" i="17"/>
  <c r="F89" i="17"/>
  <c r="F94" i="9"/>
  <c r="G109" i="21"/>
  <c r="G94" i="40" l="1"/>
  <c r="G95" i="40"/>
  <c r="F93" i="9"/>
  <c r="G97" i="9"/>
  <c r="G83" i="9"/>
  <c r="G91" i="9" s="1"/>
  <c r="G93" i="40" l="1"/>
  <c r="G92" i="9"/>
  <c r="G84" i="9"/>
  <c r="G90" i="9" s="1"/>
  <c r="E109" i="21"/>
  <c r="E113" i="21" s="1"/>
  <c r="H102" i="40" l="1"/>
  <c r="H103" i="40" s="1"/>
  <c r="H101" i="40" s="1"/>
  <c r="G98" i="40"/>
  <c r="G99" i="40"/>
  <c r="G89" i="9"/>
  <c r="H36" i="40" l="1"/>
  <c r="H68" i="40" s="1"/>
  <c r="H67" i="40" s="1"/>
  <c r="H58" i="40" s="1"/>
  <c r="H57" i="40" s="1"/>
  <c r="H11" i="22" s="1"/>
  <c r="H106" i="40"/>
  <c r="H92" i="40" s="1"/>
  <c r="G88" i="9"/>
  <c r="F78" i="21"/>
  <c r="F59" i="21"/>
  <c r="F77" i="21" s="1"/>
  <c r="G12" i="21" l="1"/>
  <c r="G79" i="21" s="1"/>
  <c r="G87" i="21"/>
  <c r="H77" i="40"/>
  <c r="H78" i="40"/>
  <c r="I70" i="40"/>
  <c r="I69" i="40"/>
  <c r="H87" i="40"/>
  <c r="H88" i="40" s="1"/>
  <c r="H94" i="40" s="1"/>
  <c r="F88" i="21"/>
  <c r="G6" i="44"/>
  <c r="G93" i="9"/>
  <c r="G94" i="9"/>
  <c r="H97" i="9"/>
  <c r="H98" i="9" s="1"/>
  <c r="F58" i="21"/>
  <c r="F57" i="21" s="1"/>
  <c r="H96" i="40" l="1"/>
  <c r="H95" i="40"/>
  <c r="H93" i="40" s="1"/>
  <c r="H97" i="40"/>
  <c r="G5" i="44"/>
  <c r="H7" i="44"/>
  <c r="G50" i="21"/>
  <c r="G13" i="21"/>
  <c r="G90" i="21"/>
  <c r="G91" i="21" s="1"/>
  <c r="G19" i="20"/>
  <c r="F15" i="22"/>
  <c r="F86" i="21"/>
  <c r="F100" i="21"/>
  <c r="F85" i="21"/>
  <c r="G70" i="21"/>
  <c r="F84" i="21"/>
  <c r="H98" i="40" l="1"/>
  <c r="H99" i="40"/>
  <c r="I102" i="40"/>
  <c r="I103" i="40" s="1"/>
  <c r="I101" i="40" s="1"/>
  <c r="F14" i="22"/>
  <c r="F17" i="22"/>
  <c r="F18" i="22"/>
  <c r="F16" i="22"/>
  <c r="F95" i="21"/>
  <c r="F96" i="21" s="1"/>
  <c r="G60" i="21"/>
  <c r="G52" i="21"/>
  <c r="G20" i="20"/>
  <c r="I106" i="40" l="1"/>
  <c r="I92" i="40" s="1"/>
  <c r="I36" i="40"/>
  <c r="I68" i="40" s="1"/>
  <c r="G59" i="18"/>
  <c r="F102" i="21"/>
  <c r="F103" i="21"/>
  <c r="F105" i="21"/>
  <c r="F104" i="21"/>
  <c r="G52" i="19"/>
  <c r="G22" i="19" s="1"/>
  <c r="G60" i="19"/>
  <c r="G51" i="18"/>
  <c r="G59" i="17"/>
  <c r="G51" i="17"/>
  <c r="G22" i="17" s="1"/>
  <c r="G23" i="21"/>
  <c r="G24" i="21" s="1"/>
  <c r="I67" i="40" l="1"/>
  <c r="I58" i="40" s="1"/>
  <c r="I57" i="40" s="1"/>
  <c r="I78" i="40"/>
  <c r="I77" i="40"/>
  <c r="I87" i="40"/>
  <c r="I88" i="40" s="1"/>
  <c r="I94" i="40" s="1"/>
  <c r="G61" i="44"/>
  <c r="H16" i="44"/>
  <c r="G113" i="21"/>
  <c r="G22" i="18"/>
  <c r="G29" i="18" s="1"/>
  <c r="F101" i="21"/>
  <c r="G30" i="21"/>
  <c r="G62" i="21" s="1"/>
  <c r="G23" i="19"/>
  <c r="G30" i="19"/>
  <c r="G33" i="21"/>
  <c r="G23" i="17"/>
  <c r="G97" i="17" s="1"/>
  <c r="G29" i="17"/>
  <c r="G59" i="44" l="1"/>
  <c r="G58" i="44"/>
  <c r="I97" i="40"/>
  <c r="I95" i="40"/>
  <c r="I96" i="40"/>
  <c r="I11" i="22"/>
  <c r="J70" i="40"/>
  <c r="J69" i="40"/>
  <c r="G60" i="44"/>
  <c r="G98" i="19"/>
  <c r="H33" i="44"/>
  <c r="G68" i="21"/>
  <c r="H10" i="44" s="1"/>
  <c r="H18" i="44"/>
  <c r="G59" i="21"/>
  <c r="H8" i="44"/>
  <c r="G110" i="21"/>
  <c r="G111" i="21" s="1"/>
  <c r="G23" i="18"/>
  <c r="G97" i="18" s="1"/>
  <c r="F107" i="21"/>
  <c r="F106" i="21"/>
  <c r="G62" i="44" s="1"/>
  <c r="H51" i="21"/>
  <c r="G69" i="21"/>
  <c r="G61" i="18"/>
  <c r="G58" i="18" s="1"/>
  <c r="H50" i="18"/>
  <c r="G32" i="17"/>
  <c r="G67" i="17" s="1"/>
  <c r="G61" i="17"/>
  <c r="G58" i="17" s="1"/>
  <c r="H50" i="17"/>
  <c r="G62" i="19"/>
  <c r="G59" i="19" s="1"/>
  <c r="H51" i="19"/>
  <c r="G33" i="19"/>
  <c r="G68" i="19" s="1"/>
  <c r="I93" i="40" l="1"/>
  <c r="I98" i="40" s="1"/>
  <c r="G77" i="21"/>
  <c r="G78" i="21"/>
  <c r="G88" i="21" s="1"/>
  <c r="G67" i="21"/>
  <c r="G58" i="21" s="1"/>
  <c r="G57" i="21" s="1"/>
  <c r="G32" i="18"/>
  <c r="G67" i="18" s="1"/>
  <c r="G68" i="17"/>
  <c r="G66" i="17" s="1"/>
  <c r="G57" i="17" s="1"/>
  <c r="G56" i="17" s="1"/>
  <c r="H23" i="44" s="1"/>
  <c r="G69" i="19"/>
  <c r="G67" i="19" s="1"/>
  <c r="G58" i="19" s="1"/>
  <c r="G57" i="19" s="1"/>
  <c r="H30" i="44" s="1"/>
  <c r="H12" i="21" l="1"/>
  <c r="H79" i="21" s="1"/>
  <c r="H87" i="21"/>
  <c r="H6" i="44"/>
  <c r="J102" i="40"/>
  <c r="J103" i="40" s="1"/>
  <c r="J101" i="40" s="1"/>
  <c r="I99" i="40"/>
  <c r="G21" i="20"/>
  <c r="G22" i="20"/>
  <c r="H5" i="44"/>
  <c r="H70" i="21"/>
  <c r="G23" i="20"/>
  <c r="G100" i="21"/>
  <c r="G85" i="21"/>
  <c r="G84" i="21"/>
  <c r="G86" i="21"/>
  <c r="G68" i="18"/>
  <c r="G66" i="18" s="1"/>
  <c r="G57" i="18" s="1"/>
  <c r="G56" i="18" s="1"/>
  <c r="G83" i="17"/>
  <c r="H69" i="17"/>
  <c r="G84" i="19"/>
  <c r="H70" i="19"/>
  <c r="G16" i="22"/>
  <c r="G17" i="22"/>
  <c r="G14" i="22"/>
  <c r="G15" i="22"/>
  <c r="G18" i="22"/>
  <c r="H13" i="21" l="1"/>
  <c r="J36" i="40"/>
  <c r="J68" i="40" s="1"/>
  <c r="J106" i="40"/>
  <c r="J92" i="40" s="1"/>
  <c r="I7" i="44"/>
  <c r="H50" i="21"/>
  <c r="G95" i="21"/>
  <c r="G96" i="21" s="1"/>
  <c r="H60" i="21"/>
  <c r="H52" i="21"/>
  <c r="H19" i="20"/>
  <c r="G83" i="18"/>
  <c r="G79" i="18" s="1"/>
  <c r="G80" i="18" s="1"/>
  <c r="H27" i="44"/>
  <c r="H69" i="18"/>
  <c r="H59" i="18"/>
  <c r="H51" i="18"/>
  <c r="G80" i="19"/>
  <c r="G81" i="19" s="1"/>
  <c r="H51" i="17"/>
  <c r="H59" i="17"/>
  <c r="G79" i="17"/>
  <c r="G80" i="17" s="1"/>
  <c r="H52" i="19"/>
  <c r="H60" i="19"/>
  <c r="J87" i="40" l="1"/>
  <c r="J88" i="40" s="1"/>
  <c r="J95" i="40" s="1"/>
  <c r="J78" i="40"/>
  <c r="J67" i="40"/>
  <c r="J58" i="40" s="1"/>
  <c r="J57" i="40" s="1"/>
  <c r="J77" i="40"/>
  <c r="H23" i="21"/>
  <c r="H24" i="21" s="1"/>
  <c r="H20" i="20"/>
  <c r="G104" i="21"/>
  <c r="G102" i="21"/>
  <c r="G105" i="21"/>
  <c r="G103" i="21"/>
  <c r="G88" i="18"/>
  <c r="G86" i="18"/>
  <c r="G87" i="19"/>
  <c r="G87" i="18"/>
  <c r="G86" i="19"/>
  <c r="G85" i="18"/>
  <c r="G89" i="19"/>
  <c r="G88" i="19"/>
  <c r="G86" i="17"/>
  <c r="G85" i="17"/>
  <c r="G88" i="17"/>
  <c r="G87" i="17"/>
  <c r="H22" i="17"/>
  <c r="H22" i="18"/>
  <c r="H22" i="19"/>
  <c r="J94" i="40" l="1"/>
  <c r="J93" i="40" s="1"/>
  <c r="J97" i="40"/>
  <c r="J96" i="40"/>
  <c r="J11" i="22"/>
  <c r="K70" i="40"/>
  <c r="K69" i="40"/>
  <c r="H30" i="21"/>
  <c r="H62" i="21" s="1"/>
  <c r="H61" i="44"/>
  <c r="G101" i="21"/>
  <c r="G84" i="18"/>
  <c r="G90" i="18" s="1"/>
  <c r="I16" i="44"/>
  <c r="G85" i="19"/>
  <c r="G90" i="19" s="1"/>
  <c r="G84" i="17"/>
  <c r="G90" i="17" s="1"/>
  <c r="H29" i="17"/>
  <c r="H23" i="17"/>
  <c r="H33" i="21"/>
  <c r="I18" i="44" s="1"/>
  <c r="H23" i="19"/>
  <c r="H30" i="19"/>
  <c r="H23" i="18"/>
  <c r="H29" i="18"/>
  <c r="H59" i="44" l="1"/>
  <c r="H58" i="44"/>
  <c r="K102" i="40"/>
  <c r="K103" i="40" s="1"/>
  <c r="K101" i="40" s="1"/>
  <c r="K106" i="40" s="1"/>
  <c r="K92" i="40" s="1"/>
  <c r="I51" i="21"/>
  <c r="J98" i="40"/>
  <c r="J99" i="40"/>
  <c r="H110" i="21"/>
  <c r="H111" i="21" s="1"/>
  <c r="H109" i="21" s="1"/>
  <c r="G107" i="21"/>
  <c r="G106" i="21"/>
  <c r="H62" i="44" s="1"/>
  <c r="H60" i="44"/>
  <c r="I33" i="44"/>
  <c r="H59" i="21"/>
  <c r="I8" i="44"/>
  <c r="G89" i="18"/>
  <c r="H93" i="18"/>
  <c r="H94" i="18" s="1"/>
  <c r="H92" i="18" s="1"/>
  <c r="G89" i="17"/>
  <c r="G91" i="19"/>
  <c r="H69" i="21"/>
  <c r="H32" i="18"/>
  <c r="H32" i="17"/>
  <c r="H61" i="18"/>
  <c r="H58" i="18" s="1"/>
  <c r="I50" i="18"/>
  <c r="H62" i="19"/>
  <c r="H59" i="19" s="1"/>
  <c r="I51" i="19"/>
  <c r="H33" i="19"/>
  <c r="H61" i="17"/>
  <c r="H58" i="17" s="1"/>
  <c r="I50" i="17"/>
  <c r="K36" i="40" l="1"/>
  <c r="K68" i="40" s="1"/>
  <c r="K77" i="40" s="1"/>
  <c r="H36" i="21"/>
  <c r="K87" i="40"/>
  <c r="K88" i="40" s="1"/>
  <c r="K94" i="40" s="1"/>
  <c r="H113" i="21"/>
  <c r="H100" i="21" s="1"/>
  <c r="H35" i="18"/>
  <c r="H67" i="18" s="1"/>
  <c r="H97" i="18"/>
  <c r="H83" i="18" s="1"/>
  <c r="H68" i="18"/>
  <c r="H69" i="19"/>
  <c r="H68" i="17"/>
  <c r="K78" i="40" l="1"/>
  <c r="K67" i="40"/>
  <c r="K58" i="40" s="1"/>
  <c r="K57" i="40" s="1"/>
  <c r="K11" i="22" s="1"/>
  <c r="H68" i="21"/>
  <c r="H77" i="21" s="1"/>
  <c r="I87" i="21" s="1"/>
  <c r="H90" i="21"/>
  <c r="H91" i="21" s="1"/>
  <c r="I13" i="44"/>
  <c r="K95" i="40"/>
  <c r="K93" i="40" s="1"/>
  <c r="K96" i="40"/>
  <c r="K97" i="40"/>
  <c r="H95" i="21"/>
  <c r="H96" i="21" s="1"/>
  <c r="H103" i="21" s="1"/>
  <c r="H66" i="18"/>
  <c r="H57" i="18" s="1"/>
  <c r="H56" i="18" s="1"/>
  <c r="H15" i="22"/>
  <c r="H79" i="18"/>
  <c r="H80" i="18" s="1"/>
  <c r="H67" i="21" l="1"/>
  <c r="H58" i="21" s="1"/>
  <c r="H57" i="21" s="1"/>
  <c r="H78" i="21"/>
  <c r="H88" i="21" s="1"/>
  <c r="I10" i="44"/>
  <c r="L69" i="40"/>
  <c r="K83" i="40"/>
  <c r="L70" i="40"/>
  <c r="H105" i="21"/>
  <c r="H104" i="21"/>
  <c r="I61" i="44" s="1"/>
  <c r="H102" i="21"/>
  <c r="H101" i="21" s="1"/>
  <c r="K98" i="40"/>
  <c r="L102" i="40"/>
  <c r="L103" i="40" s="1"/>
  <c r="L101" i="40" s="1"/>
  <c r="K99" i="40"/>
  <c r="H21" i="20"/>
  <c r="I69" i="18"/>
  <c r="I27" i="44"/>
  <c r="I6" i="44"/>
  <c r="H18" i="22"/>
  <c r="H17" i="22"/>
  <c r="H14" i="22"/>
  <c r="H16" i="22"/>
  <c r="I60" i="19"/>
  <c r="H85" i="18"/>
  <c r="H87" i="18"/>
  <c r="H88" i="18"/>
  <c r="H86" i="18"/>
  <c r="I5" i="44" l="1"/>
  <c r="H85" i="21"/>
  <c r="I70" i="21"/>
  <c r="H84" i="21"/>
  <c r="H22" i="20"/>
  <c r="H86" i="21"/>
  <c r="I12" i="21"/>
  <c r="I79" i="21" s="1"/>
  <c r="H23" i="20"/>
  <c r="H107" i="21"/>
  <c r="I58" i="44"/>
  <c r="L106" i="40"/>
  <c r="L92" i="40" s="1"/>
  <c r="L87" i="40" s="1"/>
  <c r="L88" i="40" s="1"/>
  <c r="L94" i="40" s="1"/>
  <c r="L36" i="40"/>
  <c r="L68" i="40" s="1"/>
  <c r="I60" i="44"/>
  <c r="I59" i="44"/>
  <c r="J7" i="44"/>
  <c r="I51" i="18"/>
  <c r="I59" i="18"/>
  <c r="I52" i="19"/>
  <c r="I51" i="17"/>
  <c r="I22" i="17" s="1"/>
  <c r="I59" i="17"/>
  <c r="I110" i="21"/>
  <c r="I111" i="21" s="1"/>
  <c r="I109" i="21" s="1"/>
  <c r="H106" i="21"/>
  <c r="I62" i="44" s="1"/>
  <c r="H84" i="18"/>
  <c r="I93" i="18" s="1"/>
  <c r="I94" i="18" s="1"/>
  <c r="I92" i="18" s="1"/>
  <c r="I19" i="20" l="1"/>
  <c r="I60" i="21"/>
  <c r="I13" i="21"/>
  <c r="I50" i="21"/>
  <c r="I52" i="21"/>
  <c r="L96" i="40"/>
  <c r="L97" i="40"/>
  <c r="L77" i="40"/>
  <c r="L78" i="40"/>
  <c r="L67" i="40"/>
  <c r="L58" i="40" s="1"/>
  <c r="L57" i="40" s="1"/>
  <c r="I20" i="20"/>
  <c r="I22" i="18"/>
  <c r="I23" i="18" s="1"/>
  <c r="I97" i="18" s="1"/>
  <c r="L95" i="40"/>
  <c r="L93" i="40" s="1"/>
  <c r="I36" i="21"/>
  <c r="I22" i="19"/>
  <c r="I23" i="19" s="1"/>
  <c r="H89" i="18"/>
  <c r="H90" i="18"/>
  <c r="I23" i="17"/>
  <c r="I29" i="17"/>
  <c r="I35" i="18"/>
  <c r="I23" i="21" l="1"/>
  <c r="I30" i="21" s="1"/>
  <c r="J51" i="21" s="1"/>
  <c r="J13" i="44"/>
  <c r="L83" i="40"/>
  <c r="M69" i="40"/>
  <c r="M70" i="40"/>
  <c r="L11" i="22"/>
  <c r="I29" i="18"/>
  <c r="J50" i="18" s="1"/>
  <c r="J33" i="44"/>
  <c r="I90" i="21"/>
  <c r="I91" i="21" s="1"/>
  <c r="M102" i="40"/>
  <c r="M103" i="40" s="1"/>
  <c r="M101" i="40" s="1"/>
  <c r="L99" i="40"/>
  <c r="L98" i="40"/>
  <c r="I30" i="19"/>
  <c r="I62" i="19" s="1"/>
  <c r="I59" i="19" s="1"/>
  <c r="I32" i="18"/>
  <c r="I68" i="18" s="1"/>
  <c r="I61" i="17"/>
  <c r="I58" i="17" s="1"/>
  <c r="J50" i="17"/>
  <c r="I32" i="17"/>
  <c r="I33" i="19"/>
  <c r="I24" i="21" l="1"/>
  <c r="I62" i="21"/>
  <c r="J8" i="44" s="1"/>
  <c r="I61" i="18"/>
  <c r="I58" i="18" s="1"/>
  <c r="M106" i="40"/>
  <c r="M92" i="40" s="1"/>
  <c r="M36" i="40"/>
  <c r="J51" i="19"/>
  <c r="I67" i="18"/>
  <c r="I66" i="18" s="1"/>
  <c r="I33" i="21" l="1"/>
  <c r="I113" i="21"/>
  <c r="I100" i="21" s="1"/>
  <c r="J16" i="44"/>
  <c r="I59" i="21"/>
  <c r="I57" i="18"/>
  <c r="I56" i="18" s="1"/>
  <c r="J27" i="44" s="1"/>
  <c r="I69" i="21"/>
  <c r="I83" i="18"/>
  <c r="I79" i="18" s="1"/>
  <c r="I80" i="18" s="1"/>
  <c r="M68" i="40"/>
  <c r="M78" i="40" s="1"/>
  <c r="M87" i="40"/>
  <c r="M88" i="40" s="1"/>
  <c r="I16" i="22"/>
  <c r="I68" i="21" l="1"/>
  <c r="I67" i="21" s="1"/>
  <c r="I58" i="21" s="1"/>
  <c r="I57" i="21" s="1"/>
  <c r="J18" i="44"/>
  <c r="I95" i="21"/>
  <c r="I96" i="21" s="1"/>
  <c r="I102" i="21" s="1"/>
  <c r="J69" i="18"/>
  <c r="I88" i="18"/>
  <c r="I87" i="18"/>
  <c r="I85" i="18"/>
  <c r="I86" i="18"/>
  <c r="M67" i="40"/>
  <c r="M58" i="40" s="1"/>
  <c r="M57" i="40" s="1"/>
  <c r="N70" i="40" s="1"/>
  <c r="M77" i="40"/>
  <c r="M95" i="40"/>
  <c r="M94" i="40"/>
  <c r="M97" i="40"/>
  <c r="M96" i="40"/>
  <c r="I14" i="22"/>
  <c r="I17" i="22"/>
  <c r="I18" i="22"/>
  <c r="I15" i="22"/>
  <c r="I105" i="21" l="1"/>
  <c r="I86" i="21"/>
  <c r="J5" i="44"/>
  <c r="I23" i="20"/>
  <c r="I84" i="21"/>
  <c r="I104" i="21"/>
  <c r="J61" i="44" s="1"/>
  <c r="I78" i="21"/>
  <c r="J10" i="44"/>
  <c r="I85" i="21"/>
  <c r="J70" i="21"/>
  <c r="I103" i="21"/>
  <c r="I101" i="21" s="1"/>
  <c r="I77" i="21"/>
  <c r="J87" i="21" s="1"/>
  <c r="J58" i="44"/>
  <c r="I84" i="18"/>
  <c r="I90" i="18" s="1"/>
  <c r="J59" i="44"/>
  <c r="N69" i="40"/>
  <c r="M83" i="40"/>
  <c r="M11" i="22"/>
  <c r="H36" i="44" s="1"/>
  <c r="M93" i="40"/>
  <c r="M99" i="40" s="1"/>
  <c r="J60" i="44" l="1"/>
  <c r="I107" i="21"/>
  <c r="J110" i="21"/>
  <c r="J111" i="21" s="1"/>
  <c r="J109" i="21" s="1"/>
  <c r="J36" i="21" s="1"/>
  <c r="J6" i="44"/>
  <c r="I21" i="20"/>
  <c r="I22" i="20"/>
  <c r="I88" i="21"/>
  <c r="I106" i="21"/>
  <c r="J62" i="44" s="1"/>
  <c r="I89" i="18"/>
  <c r="J93" i="18"/>
  <c r="J94" i="18" s="1"/>
  <c r="J92" i="18" s="1"/>
  <c r="J35" i="18" s="1"/>
  <c r="K13" i="44"/>
  <c r="N102" i="40"/>
  <c r="N103" i="40" s="1"/>
  <c r="N101" i="40" s="1"/>
  <c r="N106" i="40" s="1"/>
  <c r="N92" i="40" s="1"/>
  <c r="M98" i="40"/>
  <c r="J52" i="19"/>
  <c r="J51" i="17"/>
  <c r="J90" i="21" l="1"/>
  <c r="J91" i="21" s="1"/>
  <c r="J12" i="21" s="1"/>
  <c r="N36" i="40"/>
  <c r="N87" i="40"/>
  <c r="J59" i="18"/>
  <c r="J51" i="18"/>
  <c r="J60" i="19"/>
  <c r="J22" i="19"/>
  <c r="J30" i="19" s="1"/>
  <c r="J62" i="19" s="1"/>
  <c r="J59" i="17"/>
  <c r="J22" i="17"/>
  <c r="J29" i="17" s="1"/>
  <c r="K50" i="17" s="1"/>
  <c r="J19" i="20" l="1"/>
  <c r="K7" i="44"/>
  <c r="J13" i="21"/>
  <c r="J60" i="21"/>
  <c r="J52" i="21"/>
  <c r="J50" i="21"/>
  <c r="J79" i="21"/>
  <c r="G24" i="20"/>
  <c r="N68" i="40"/>
  <c r="N77" i="40" s="1"/>
  <c r="N97" i="40"/>
  <c r="N96" i="40"/>
  <c r="N88" i="40"/>
  <c r="N94" i="40" s="1"/>
  <c r="J22" i="18"/>
  <c r="J23" i="18" s="1"/>
  <c r="J97" i="18" s="1"/>
  <c r="J59" i="19"/>
  <c r="K51" i="19"/>
  <c r="J23" i="19"/>
  <c r="J61" i="17"/>
  <c r="J58" i="17" s="1"/>
  <c r="J23" i="17"/>
  <c r="J32" i="17" s="1"/>
  <c r="J23" i="21" l="1"/>
  <c r="J24" i="21" s="1"/>
  <c r="J20" i="20"/>
  <c r="G26" i="20" s="1"/>
  <c r="K16" i="44"/>
  <c r="K33" i="44"/>
  <c r="N67" i="40"/>
  <c r="N58" i="40" s="1"/>
  <c r="N57" i="40" s="1"/>
  <c r="N83" i="40" s="1"/>
  <c r="N78" i="40"/>
  <c r="N95" i="40"/>
  <c r="J29" i="18"/>
  <c r="K50" i="18" s="1"/>
  <c r="J33" i="19"/>
  <c r="J32" i="18"/>
  <c r="J30" i="21" l="1"/>
  <c r="K51" i="21" s="1"/>
  <c r="J113" i="21"/>
  <c r="J33" i="21"/>
  <c r="K18" i="44" s="1"/>
  <c r="N11" i="22"/>
  <c r="O70" i="40"/>
  <c r="O69" i="40"/>
  <c r="N93" i="40"/>
  <c r="O102" i="40" s="1"/>
  <c r="O103" i="40" s="1"/>
  <c r="O101" i="40" s="1"/>
  <c r="O106" i="40" s="1"/>
  <c r="O92" i="40" s="1"/>
  <c r="J61" i="18"/>
  <c r="J67" i="18"/>
  <c r="J68" i="18"/>
  <c r="J62" i="21" l="1"/>
  <c r="J100" i="21" s="1"/>
  <c r="J95" i="21" s="1"/>
  <c r="J96" i="21" s="1"/>
  <c r="J69" i="21"/>
  <c r="J68" i="21"/>
  <c r="K10" i="44" s="1"/>
  <c r="K8" i="44"/>
  <c r="N98" i="40"/>
  <c r="N99" i="40"/>
  <c r="O36" i="40"/>
  <c r="O68" i="40" s="1"/>
  <c r="O78" i="40" s="1"/>
  <c r="J58" i="18"/>
  <c r="J83" i="18"/>
  <c r="J79" i="18" s="1"/>
  <c r="J87" i="18" s="1"/>
  <c r="O87" i="40"/>
  <c r="J66" i="18"/>
  <c r="J59" i="21" l="1"/>
  <c r="J77" i="21" s="1"/>
  <c r="J78" i="21"/>
  <c r="J22" i="20" s="1"/>
  <c r="J67" i="21"/>
  <c r="J102" i="21"/>
  <c r="J103" i="21"/>
  <c r="J105" i="21"/>
  <c r="J104" i="21"/>
  <c r="K61" i="44" s="1"/>
  <c r="O77" i="40"/>
  <c r="O67" i="40"/>
  <c r="O58" i="40" s="1"/>
  <c r="O57" i="40" s="1"/>
  <c r="O83" i="40" s="1"/>
  <c r="O88" i="40"/>
  <c r="O95" i="40" s="1"/>
  <c r="J57" i="18"/>
  <c r="J56" i="18" s="1"/>
  <c r="O97" i="40"/>
  <c r="O96" i="40"/>
  <c r="J15" i="22"/>
  <c r="J14" i="22"/>
  <c r="J17" i="22"/>
  <c r="J18" i="22"/>
  <c r="J16" i="22"/>
  <c r="J88" i="18"/>
  <c r="J80" i="18"/>
  <c r="J85" i="18" s="1"/>
  <c r="K6" i="44" l="1"/>
  <c r="K87" i="21"/>
  <c r="J58" i="21"/>
  <c r="J57" i="21" s="1"/>
  <c r="J84" i="21" s="1"/>
  <c r="K5" i="44"/>
  <c r="J21" i="20"/>
  <c r="J88" i="21"/>
  <c r="J23" i="20"/>
  <c r="K70" i="21"/>
  <c r="J101" i="21"/>
  <c r="J106" i="21" s="1"/>
  <c r="K62" i="44" s="1"/>
  <c r="O11" i="22"/>
  <c r="P69" i="40"/>
  <c r="P70" i="40"/>
  <c r="K60" i="44"/>
  <c r="K59" i="44"/>
  <c r="K69" i="18"/>
  <c r="K27" i="44"/>
  <c r="O94" i="40"/>
  <c r="O93" i="40" s="1"/>
  <c r="O99" i="40" s="1"/>
  <c r="J86" i="18"/>
  <c r="J84" i="18" s="1"/>
  <c r="J90" i="18" s="1"/>
  <c r="J85" i="21" l="1"/>
  <c r="J86" i="21"/>
  <c r="J107" i="21"/>
  <c r="K110" i="21"/>
  <c r="K111" i="21" s="1"/>
  <c r="K109" i="21" s="1"/>
  <c r="K58" i="44"/>
  <c r="P102" i="40"/>
  <c r="P103" i="40" s="1"/>
  <c r="P101" i="40" s="1"/>
  <c r="P106" i="40" s="1"/>
  <c r="P92" i="40" s="1"/>
  <c r="P87" i="40" s="1"/>
  <c r="O98" i="40"/>
  <c r="K93" i="18"/>
  <c r="K94" i="18" s="1"/>
  <c r="K92" i="18" s="1"/>
  <c r="J89" i="18"/>
  <c r="K36" i="21" l="1"/>
  <c r="K90" i="21" s="1"/>
  <c r="K91" i="21" s="1"/>
  <c r="K12" i="21" s="1"/>
  <c r="P36" i="40"/>
  <c r="P68" i="40" s="1"/>
  <c r="P78" i="40" s="1"/>
  <c r="P97" i="40"/>
  <c r="P88" i="40"/>
  <c r="P95" i="40" s="1"/>
  <c r="P96" i="40"/>
  <c r="K35" i="18"/>
  <c r="K51" i="18"/>
  <c r="K59" i="17"/>
  <c r="K59" i="18"/>
  <c r="K79" i="21" l="1"/>
  <c r="K60" i="21"/>
  <c r="L13" i="44"/>
  <c r="K52" i="21"/>
  <c r="K19" i="20"/>
  <c r="K13" i="21"/>
  <c r="L7" i="44"/>
  <c r="K50" i="21"/>
  <c r="P67" i="40"/>
  <c r="P58" i="40" s="1"/>
  <c r="P57" i="40" s="1"/>
  <c r="P83" i="40" s="1"/>
  <c r="P77" i="40"/>
  <c r="K22" i="18"/>
  <c r="K29" i="18" s="1"/>
  <c r="L50" i="18" s="1"/>
  <c r="P94" i="40"/>
  <c r="P93" i="40" s="1"/>
  <c r="K52" i="19"/>
  <c r="K22" i="19" s="1"/>
  <c r="K30" i="19" s="1"/>
  <c r="K62" i="19" s="1"/>
  <c r="K60" i="19"/>
  <c r="K51" i="17"/>
  <c r="K22" i="17" s="1"/>
  <c r="K29" i="17" s="1"/>
  <c r="K61" i="17" s="1"/>
  <c r="K58" i="17" s="1"/>
  <c r="K23" i="21" l="1"/>
  <c r="K30" i="21" s="1"/>
  <c r="K62" i="21" s="1"/>
  <c r="K59" i="21" s="1"/>
  <c r="K20" i="20"/>
  <c r="Q69" i="40"/>
  <c r="P11" i="22"/>
  <c r="Q70" i="40"/>
  <c r="K61" i="18"/>
  <c r="K58" i="18" s="1"/>
  <c r="K23" i="18"/>
  <c r="K32" i="18" s="1"/>
  <c r="P99" i="40"/>
  <c r="Q102" i="40"/>
  <c r="Q103" i="40" s="1"/>
  <c r="Q101" i="40" s="1"/>
  <c r="P98" i="40"/>
  <c r="L51" i="19"/>
  <c r="L51" i="21"/>
  <c r="K59" i="19"/>
  <c r="K23" i="19"/>
  <c r="K23" i="17"/>
  <c r="K32" i="17" s="1"/>
  <c r="L50" i="17"/>
  <c r="L8" i="44" l="1"/>
  <c r="K24" i="21"/>
  <c r="L33" i="44"/>
  <c r="K97" i="18"/>
  <c r="K83" i="18" s="1"/>
  <c r="K79" i="18" s="1"/>
  <c r="K80" i="18" s="1"/>
  <c r="K85" i="18" s="1"/>
  <c r="K67" i="18"/>
  <c r="K68" i="18"/>
  <c r="Q106" i="40"/>
  <c r="Q92" i="40" s="1"/>
  <c r="Q36" i="40"/>
  <c r="Q68" i="40" s="1"/>
  <c r="K33" i="19"/>
  <c r="K16" i="22"/>
  <c r="K113" i="21" l="1"/>
  <c r="K100" i="21" s="1"/>
  <c r="K33" i="21"/>
  <c r="K68" i="21" s="1"/>
  <c r="K77" i="21" s="1"/>
  <c r="L16" i="44"/>
  <c r="K95" i="21"/>
  <c r="K96" i="21" s="1"/>
  <c r="L18" i="44"/>
  <c r="K66" i="18"/>
  <c r="K57" i="18" s="1"/>
  <c r="K56" i="18" s="1"/>
  <c r="K86" i="18"/>
  <c r="K84" i="18" s="1"/>
  <c r="K88" i="18"/>
  <c r="K87" i="18"/>
  <c r="Q78" i="40"/>
  <c r="Q77" i="40"/>
  <c r="Q67" i="40"/>
  <c r="Q58" i="40" s="1"/>
  <c r="Q57" i="40" s="1"/>
  <c r="Q83" i="40" s="1"/>
  <c r="Q87" i="40"/>
  <c r="Q88" i="40" s="1"/>
  <c r="K105" i="21"/>
  <c r="K104" i="21"/>
  <c r="L61" i="44" s="1"/>
  <c r="K17" i="22"/>
  <c r="K15" i="22"/>
  <c r="K14" i="22"/>
  <c r="K18" i="22"/>
  <c r="K102" i="21" l="1"/>
  <c r="K103" i="21"/>
  <c r="K101" i="21" s="1"/>
  <c r="K69" i="21"/>
  <c r="L87" i="21"/>
  <c r="K21" i="20"/>
  <c r="K67" i="21"/>
  <c r="K58" i="21" s="1"/>
  <c r="K57" i="21" s="1"/>
  <c r="K85" i="21" s="1"/>
  <c r="L69" i="18"/>
  <c r="L27" i="44"/>
  <c r="L6" i="44"/>
  <c r="K78" i="21"/>
  <c r="K88" i="21" s="1"/>
  <c r="L10" i="44"/>
  <c r="K75" i="18"/>
  <c r="K89" i="18"/>
  <c r="K90" i="18"/>
  <c r="L93" i="18"/>
  <c r="L94" i="18" s="1"/>
  <c r="L92" i="18" s="1"/>
  <c r="L35" i="18" s="1"/>
  <c r="Q95" i="40"/>
  <c r="Q97" i="40"/>
  <c r="Q94" i="40"/>
  <c r="Q11" i="22"/>
  <c r="R69" i="40"/>
  <c r="R70" i="40"/>
  <c r="Q96" i="40"/>
  <c r="K107" i="21" l="1"/>
  <c r="L58" i="44"/>
  <c r="L60" i="44"/>
  <c r="L59" i="44"/>
  <c r="K86" i="21"/>
  <c r="K83" i="21"/>
  <c r="K23" i="20"/>
  <c r="L70" i="21"/>
  <c r="K84" i="21"/>
  <c r="L5" i="44"/>
  <c r="K22" i="20"/>
  <c r="K106" i="21"/>
  <c r="L62" i="44" s="1"/>
  <c r="L110" i="21"/>
  <c r="L111" i="21" s="1"/>
  <c r="L109" i="21" s="1"/>
  <c r="Q93" i="40"/>
  <c r="R102" i="40" s="1"/>
  <c r="R103" i="40" s="1"/>
  <c r="R101" i="40" s="1"/>
  <c r="L51" i="18"/>
  <c r="Q99" i="40" l="1"/>
  <c r="Q98" i="40"/>
  <c r="L36" i="21"/>
  <c r="R106" i="40"/>
  <c r="R92" i="40" s="1"/>
  <c r="R36" i="40"/>
  <c r="R68" i="40" s="1"/>
  <c r="L59" i="18"/>
  <c r="L22" i="18"/>
  <c r="L29" i="18" s="1"/>
  <c r="L61" i="18" s="1"/>
  <c r="L51" i="17"/>
  <c r="L22" i="17" s="1"/>
  <c r="L59" i="17"/>
  <c r="L52" i="19"/>
  <c r="L60" i="19"/>
  <c r="M13" i="44" l="1"/>
  <c r="L90" i="21"/>
  <c r="L91" i="21" s="1"/>
  <c r="R78" i="40"/>
  <c r="R77" i="40"/>
  <c r="R67" i="40"/>
  <c r="R58" i="40" s="1"/>
  <c r="R57" i="40" s="1"/>
  <c r="R83" i="40" s="1"/>
  <c r="R87" i="40"/>
  <c r="R88" i="40" s="1"/>
  <c r="R95" i="40" s="1"/>
  <c r="L58" i="18"/>
  <c r="L23" i="18"/>
  <c r="M50" i="18"/>
  <c r="L29" i="17"/>
  <c r="L61" i="17" s="1"/>
  <c r="L58" i="17" s="1"/>
  <c r="L23" i="17"/>
  <c r="L32" i="17" s="1"/>
  <c r="L22" i="19"/>
  <c r="L12" i="21" l="1"/>
  <c r="R94" i="40"/>
  <c r="R93" i="40" s="1"/>
  <c r="R96" i="40"/>
  <c r="R97" i="40"/>
  <c r="L97" i="18"/>
  <c r="L83" i="18" s="1"/>
  <c r="R11" i="22"/>
  <c r="S70" i="40"/>
  <c r="S69" i="40"/>
  <c r="L32" i="18"/>
  <c r="L68" i="18" s="1"/>
  <c r="M50" i="17"/>
  <c r="L30" i="19"/>
  <c r="L23" i="19"/>
  <c r="L13" i="21" l="1"/>
  <c r="L19" i="20"/>
  <c r="M7" i="44"/>
  <c r="L52" i="21"/>
  <c r="L60" i="21"/>
  <c r="L50" i="21"/>
  <c r="L23" i="21" s="1"/>
  <c r="L30" i="21" s="1"/>
  <c r="L79" i="21"/>
  <c r="M33" i="44"/>
  <c r="S102" i="40"/>
  <c r="S103" i="40" s="1"/>
  <c r="S101" i="40" s="1"/>
  <c r="S36" i="40" s="1"/>
  <c r="S68" i="40" s="1"/>
  <c r="R98" i="40"/>
  <c r="R99" i="40"/>
  <c r="L79" i="18"/>
  <c r="L33" i="19"/>
  <c r="L67" i="18"/>
  <c r="L66" i="18" s="1"/>
  <c r="L57" i="18" s="1"/>
  <c r="L56" i="18" s="1"/>
  <c r="L62" i="19"/>
  <c r="L59" i="19" s="1"/>
  <c r="M51" i="19"/>
  <c r="L20" i="20" l="1"/>
  <c r="L75" i="18"/>
  <c r="M27" i="44"/>
  <c r="S106" i="40"/>
  <c r="S92" i="40" s="1"/>
  <c r="S87" i="40" s="1"/>
  <c r="S88" i="40" s="1"/>
  <c r="L24" i="21"/>
  <c r="L62" i="21"/>
  <c r="M51" i="21"/>
  <c r="L80" i="18"/>
  <c r="L85" i="18" s="1"/>
  <c r="L88" i="18"/>
  <c r="L87" i="18"/>
  <c r="S67" i="40"/>
  <c r="S58" i="40" s="1"/>
  <c r="S57" i="40" s="1"/>
  <c r="S83" i="40" s="1"/>
  <c r="S77" i="40"/>
  <c r="S78" i="40"/>
  <c r="C30" i="22"/>
  <c r="C27" i="22"/>
  <c r="C31" i="22"/>
  <c r="L17" i="22"/>
  <c r="M69" i="18"/>
  <c r="L59" i="21" l="1"/>
  <c r="M8" i="44"/>
  <c r="M16" i="44"/>
  <c r="L86" i="18"/>
  <c r="L84" i="18" s="1"/>
  <c r="L89" i="18" s="1"/>
  <c r="L33" i="21"/>
  <c r="L113" i="21"/>
  <c r="L100" i="21" s="1"/>
  <c r="S95" i="40"/>
  <c r="S97" i="40"/>
  <c r="S96" i="40"/>
  <c r="S94" i="40"/>
  <c r="S11" i="22"/>
  <c r="T70" i="40"/>
  <c r="T69" i="40"/>
  <c r="C29" i="22"/>
  <c r="C28" i="22"/>
  <c r="C22" i="22"/>
  <c r="L16" i="22"/>
  <c r="L18" i="22"/>
  <c r="L14" i="22"/>
  <c r="L15" i="22"/>
  <c r="L95" i="21" l="1"/>
  <c r="L105" i="21" s="1"/>
  <c r="L68" i="21"/>
  <c r="L77" i="21" s="1"/>
  <c r="M18" i="44"/>
  <c r="S93" i="40"/>
  <c r="S98" i="40" s="1"/>
  <c r="L69" i="21"/>
  <c r="M93" i="18"/>
  <c r="M94" i="18" s="1"/>
  <c r="M92" i="18" s="1"/>
  <c r="M35" i="18" s="1"/>
  <c r="L90" i="18"/>
  <c r="N12" i="19"/>
  <c r="M87" i="21" l="1"/>
  <c r="L104" i="21"/>
  <c r="L96" i="21"/>
  <c r="L103" i="21" s="1"/>
  <c r="N52" i="19"/>
  <c r="N50" i="19"/>
  <c r="L67" i="21"/>
  <c r="L58" i="21" s="1"/>
  <c r="L57" i="21" s="1"/>
  <c r="S99" i="40"/>
  <c r="L21" i="20"/>
  <c r="M6" i="44"/>
  <c r="L78" i="21"/>
  <c r="L88" i="21" s="1"/>
  <c r="M10" i="44"/>
  <c r="T102" i="40"/>
  <c r="T103" i="40" s="1"/>
  <c r="T101" i="40" s="1"/>
  <c r="T106" i="40" s="1"/>
  <c r="T92" i="40" s="1"/>
  <c r="T87" i="40" s="1"/>
  <c r="T97" i="40" s="1"/>
  <c r="L102" i="21"/>
  <c r="M51" i="18"/>
  <c r="M60" i="19"/>
  <c r="M51" i="17"/>
  <c r="M22" i="17" s="1"/>
  <c r="M29" i="17" s="1"/>
  <c r="M61" i="17" s="1"/>
  <c r="N12" i="17"/>
  <c r="M59" i="17"/>
  <c r="M52" i="19"/>
  <c r="M59" i="18"/>
  <c r="O12" i="19"/>
  <c r="O52" i="19" s="1"/>
  <c r="N60" i="19"/>
  <c r="M61" i="44" l="1"/>
  <c r="M5" i="44"/>
  <c r="M70" i="21"/>
  <c r="L86" i="21"/>
  <c r="L83" i="21"/>
  <c r="L85" i="21"/>
  <c r="L84" i="21"/>
  <c r="L23" i="20"/>
  <c r="N59" i="17"/>
  <c r="N49" i="17"/>
  <c r="O50" i="17" s="1"/>
  <c r="O50" i="19"/>
  <c r="L101" i="21"/>
  <c r="T36" i="40"/>
  <c r="L22" i="20"/>
  <c r="M22" i="18"/>
  <c r="M29" i="18" s="1"/>
  <c r="T96" i="40"/>
  <c r="T88" i="40"/>
  <c r="M22" i="19"/>
  <c r="M30" i="19" s="1"/>
  <c r="M62" i="19" s="1"/>
  <c r="M59" i="19" s="1"/>
  <c r="O12" i="17"/>
  <c r="O59" i="17" s="1"/>
  <c r="N51" i="17"/>
  <c r="N50" i="17"/>
  <c r="M58" i="17"/>
  <c r="M23" i="17"/>
  <c r="M32" i="17" s="1"/>
  <c r="O60" i="19"/>
  <c r="P12" i="19"/>
  <c r="P52" i="19" s="1"/>
  <c r="N59" i="18"/>
  <c r="N51" i="18"/>
  <c r="L106" i="21" l="1"/>
  <c r="M62" i="44" s="1"/>
  <c r="M58" i="44"/>
  <c r="M59" i="44"/>
  <c r="M60" i="44"/>
  <c r="T68" i="40"/>
  <c r="T78" i="40" s="1"/>
  <c r="L107" i="21"/>
  <c r="M110" i="21"/>
  <c r="M111" i="21" s="1"/>
  <c r="M109" i="21" s="1"/>
  <c r="M36" i="21" s="1"/>
  <c r="P50" i="19"/>
  <c r="O49" i="17"/>
  <c r="P50" i="17" s="1"/>
  <c r="M23" i="18"/>
  <c r="M97" i="18" s="1"/>
  <c r="T94" i="40"/>
  <c r="T95" i="40"/>
  <c r="O51" i="19"/>
  <c r="N51" i="19"/>
  <c r="N22" i="19" s="1"/>
  <c r="N30" i="19" s="1"/>
  <c r="N62" i="19" s="1"/>
  <c r="N59" i="19" s="1"/>
  <c r="M23" i="19"/>
  <c r="P12" i="17"/>
  <c r="Q12" i="17" s="1"/>
  <c r="R12" i="17" s="1"/>
  <c r="O51" i="17"/>
  <c r="P51" i="19"/>
  <c r="N22" i="17"/>
  <c r="N29" i="17" s="1"/>
  <c r="N61" i="17" s="1"/>
  <c r="N58" i="17" s="1"/>
  <c r="N50" i="18"/>
  <c r="N22" i="18" s="1"/>
  <c r="M61" i="18"/>
  <c r="Q12" i="19"/>
  <c r="Q52" i="19" s="1"/>
  <c r="P60" i="19"/>
  <c r="T67" i="40" l="1"/>
  <c r="T58" i="40" s="1"/>
  <c r="T57" i="40" s="1"/>
  <c r="T83" i="40" s="1"/>
  <c r="T77" i="40"/>
  <c r="N13" i="44"/>
  <c r="N33" i="44"/>
  <c r="P49" i="17"/>
  <c r="Q49" i="17" s="1"/>
  <c r="R49" i="17" s="1"/>
  <c r="Q50" i="19"/>
  <c r="M32" i="18"/>
  <c r="M68" i="18" s="1"/>
  <c r="M83" i="18"/>
  <c r="M90" i="21"/>
  <c r="M91" i="21" s="1"/>
  <c r="T93" i="40"/>
  <c r="T98" i="40" s="1"/>
  <c r="M33" i="19"/>
  <c r="P59" i="17"/>
  <c r="P51" i="17"/>
  <c r="Q59" i="17"/>
  <c r="Q51" i="17"/>
  <c r="O22" i="17"/>
  <c r="O29" i="17" s="1"/>
  <c r="O61" i="17" s="1"/>
  <c r="O58" i="17" s="1"/>
  <c r="Q51" i="19"/>
  <c r="N23" i="17"/>
  <c r="N32" i="17" s="1"/>
  <c r="O22" i="19"/>
  <c r="O30" i="19" s="1"/>
  <c r="O62" i="19" s="1"/>
  <c r="O59" i="19" s="1"/>
  <c r="N23" i="19"/>
  <c r="M58" i="18"/>
  <c r="Q60" i="19"/>
  <c r="R12" i="19"/>
  <c r="S12" i="19" s="1"/>
  <c r="M16" i="22"/>
  <c r="S12" i="17"/>
  <c r="R51" i="17"/>
  <c r="R59" i="17"/>
  <c r="N23" i="18"/>
  <c r="N29" i="18"/>
  <c r="U69" i="40" l="1"/>
  <c r="T11" i="22"/>
  <c r="U70" i="40"/>
  <c r="M12" i="21"/>
  <c r="M79" i="21" s="1"/>
  <c r="Q50" i="17"/>
  <c r="O33" i="44"/>
  <c r="R50" i="19"/>
  <c r="S50" i="19" s="1"/>
  <c r="S49" i="17"/>
  <c r="M67" i="18"/>
  <c r="M66" i="18" s="1"/>
  <c r="M57" i="18" s="1"/>
  <c r="M56" i="18" s="1"/>
  <c r="N7" i="44"/>
  <c r="T99" i="40"/>
  <c r="U102" i="40"/>
  <c r="U103" i="40" s="1"/>
  <c r="U101" i="40" s="1"/>
  <c r="U106" i="40" s="1"/>
  <c r="U92" i="40" s="1"/>
  <c r="U87" i="40" s="1"/>
  <c r="U96" i="40" s="1"/>
  <c r="N33" i="19"/>
  <c r="P22" i="17"/>
  <c r="P29" i="17" s="1"/>
  <c r="P61" i="17" s="1"/>
  <c r="P58" i="17" s="1"/>
  <c r="R50" i="17"/>
  <c r="R51" i="19"/>
  <c r="P22" i="19"/>
  <c r="P30" i="19" s="1"/>
  <c r="P62" i="19" s="1"/>
  <c r="P59" i="19" s="1"/>
  <c r="O23" i="17"/>
  <c r="O32" i="17" s="1"/>
  <c r="O23" i="19"/>
  <c r="M79" i="18"/>
  <c r="M87" i="18" s="1"/>
  <c r="R60" i="19"/>
  <c r="R52" i="19"/>
  <c r="D31" i="22"/>
  <c r="D28" i="22"/>
  <c r="D27" i="22"/>
  <c r="D22" i="22"/>
  <c r="M17" i="22"/>
  <c r="D30" i="22"/>
  <c r="M15" i="22"/>
  <c r="M14" i="22"/>
  <c r="M18" i="22"/>
  <c r="D29" i="22"/>
  <c r="S59" i="17"/>
  <c r="T12" i="17"/>
  <c r="S51" i="17"/>
  <c r="S52" i="19"/>
  <c r="T12" i="19"/>
  <c r="S60" i="19"/>
  <c r="N61" i="18"/>
  <c r="N58" i="18" s="1"/>
  <c r="O50" i="18"/>
  <c r="N32" i="18"/>
  <c r="M13" i="21" l="1"/>
  <c r="M52" i="21"/>
  <c r="M60" i="21"/>
  <c r="N12" i="21"/>
  <c r="N79" i="21" s="1"/>
  <c r="M50" i="21"/>
  <c r="N50" i="21" s="1"/>
  <c r="M19" i="20"/>
  <c r="O12" i="20" s="1"/>
  <c r="N12" i="20" s="1"/>
  <c r="Q12" i="20"/>
  <c r="P12" i="20" s="1"/>
  <c r="M20" i="20"/>
  <c r="G27" i="20" s="1"/>
  <c r="P33" i="44"/>
  <c r="T49" i="17"/>
  <c r="T50" i="19"/>
  <c r="M75" i="18"/>
  <c r="N27" i="44"/>
  <c r="U36" i="40"/>
  <c r="U68" i="40" s="1"/>
  <c r="U77" i="40" s="1"/>
  <c r="D81" i="21"/>
  <c r="U88" i="40"/>
  <c r="U94" i="40" s="1"/>
  <c r="U97" i="40"/>
  <c r="O33" i="19"/>
  <c r="P23" i="17"/>
  <c r="P32" i="17" s="1"/>
  <c r="T50" i="17"/>
  <c r="Q22" i="17"/>
  <c r="Q29" i="17" s="1"/>
  <c r="Q61" i="17" s="1"/>
  <c r="Q58" i="17" s="1"/>
  <c r="Q22" i="19"/>
  <c r="Q30" i="19" s="1"/>
  <c r="Q62" i="19" s="1"/>
  <c r="Q59" i="19" s="1"/>
  <c r="P23" i="19"/>
  <c r="T51" i="19"/>
  <c r="N69" i="18"/>
  <c r="M88" i="18"/>
  <c r="M80" i="18"/>
  <c r="T52" i="19"/>
  <c r="T60" i="19"/>
  <c r="U12" i="19"/>
  <c r="U12" i="17"/>
  <c r="T51" i="17"/>
  <c r="T59" i="17"/>
  <c r="N68" i="18"/>
  <c r="N60" i="21" l="1"/>
  <c r="G25" i="20"/>
  <c r="N52" i="21"/>
  <c r="O7" i="44"/>
  <c r="N13" i="21"/>
  <c r="M23" i="21"/>
  <c r="M24" i="21" s="1"/>
  <c r="O12" i="21"/>
  <c r="O79" i="21" s="1"/>
  <c r="U67" i="40"/>
  <c r="U58" i="40" s="1"/>
  <c r="U57" i="40" s="1"/>
  <c r="U83" i="40" s="1"/>
  <c r="U78" i="40"/>
  <c r="Q33" i="44"/>
  <c r="U50" i="19"/>
  <c r="U49" i="17"/>
  <c r="N16" i="44"/>
  <c r="U95" i="40"/>
  <c r="U93" i="40" s="1"/>
  <c r="V102" i="40" s="1"/>
  <c r="V103" i="40" s="1"/>
  <c r="V101" i="40" s="1"/>
  <c r="P33" i="19"/>
  <c r="Q23" i="17"/>
  <c r="Q32" i="17" s="1"/>
  <c r="Q23" i="19"/>
  <c r="U50" i="17"/>
  <c r="S50" i="17"/>
  <c r="R22" i="17"/>
  <c r="R23" i="17" s="1"/>
  <c r="R32" i="17" s="1"/>
  <c r="R22" i="19"/>
  <c r="S22" i="19" s="1"/>
  <c r="S30" i="19" s="1"/>
  <c r="S62" i="19" s="1"/>
  <c r="S59" i="19" s="1"/>
  <c r="S51" i="19"/>
  <c r="M85" i="18"/>
  <c r="M86" i="18"/>
  <c r="U60" i="19"/>
  <c r="U52" i="19"/>
  <c r="V12" i="19"/>
  <c r="V12" i="17"/>
  <c r="U51" i="17"/>
  <c r="U59" i="17"/>
  <c r="O59" i="18"/>
  <c r="O51" i="18"/>
  <c r="M113" i="21" l="1"/>
  <c r="O60" i="21"/>
  <c r="O52" i="21"/>
  <c r="M33" i="21"/>
  <c r="M68" i="21" s="1"/>
  <c r="P7" i="44"/>
  <c r="P12" i="21"/>
  <c r="P79" i="21" s="1"/>
  <c r="M30" i="21"/>
  <c r="O51" i="21" s="1"/>
  <c r="O13" i="21"/>
  <c r="O50" i="21"/>
  <c r="P50" i="21" s="1"/>
  <c r="U11" i="22"/>
  <c r="V70" i="40"/>
  <c r="V69" i="40"/>
  <c r="R33" i="44"/>
  <c r="V49" i="17"/>
  <c r="V50" i="19"/>
  <c r="U98" i="40"/>
  <c r="U99" i="40"/>
  <c r="V36" i="40"/>
  <c r="V68" i="40" s="1"/>
  <c r="V106" i="40"/>
  <c r="Q33" i="19"/>
  <c r="V50" i="17"/>
  <c r="R30" i="19"/>
  <c r="R62" i="19" s="1"/>
  <c r="R59" i="19" s="1"/>
  <c r="S23" i="19"/>
  <c r="T22" i="19"/>
  <c r="T23" i="19" s="1"/>
  <c r="R23" i="19"/>
  <c r="U51" i="19"/>
  <c r="R29" i="17"/>
  <c r="R61" i="17" s="1"/>
  <c r="R58" i="17" s="1"/>
  <c r="S22" i="17"/>
  <c r="T22" i="17" s="1"/>
  <c r="T29" i="17" s="1"/>
  <c r="T61" i="17" s="1"/>
  <c r="T58" i="17" s="1"/>
  <c r="M84" i="18"/>
  <c r="N93" i="18" s="1"/>
  <c r="N94" i="18" s="1"/>
  <c r="N92" i="18" s="1"/>
  <c r="V59" i="17"/>
  <c r="V51" i="17"/>
  <c r="W12" i="17"/>
  <c r="V60" i="19"/>
  <c r="V52" i="19"/>
  <c r="W12" i="19"/>
  <c r="V51" i="19"/>
  <c r="O22" i="18"/>
  <c r="N18" i="44" l="1"/>
  <c r="M69" i="21"/>
  <c r="N51" i="21"/>
  <c r="N23" i="21" s="1"/>
  <c r="M62" i="21"/>
  <c r="M59" i="21" s="1"/>
  <c r="M77" i="21" s="1"/>
  <c r="N87" i="21" s="1"/>
  <c r="Q12" i="21"/>
  <c r="Q79" i="21" s="1"/>
  <c r="Q7" i="44"/>
  <c r="P13" i="21"/>
  <c r="O23" i="21"/>
  <c r="O24" i="21" s="1"/>
  <c r="M67" i="21"/>
  <c r="N30" i="21"/>
  <c r="N62" i="21" s="1"/>
  <c r="O8" i="44" s="1"/>
  <c r="N24" i="21"/>
  <c r="S33" i="44"/>
  <c r="U33" i="44"/>
  <c r="T33" i="44"/>
  <c r="W50" i="19"/>
  <c r="W49" i="17"/>
  <c r="M78" i="21"/>
  <c r="M88" i="21" s="1"/>
  <c r="N10" i="44"/>
  <c r="M100" i="21"/>
  <c r="V92" i="40"/>
  <c r="N97" i="18"/>
  <c r="U22" i="19"/>
  <c r="V22" i="19" s="1"/>
  <c r="R33" i="19"/>
  <c r="T33" i="19"/>
  <c r="S33" i="19"/>
  <c r="W50" i="17"/>
  <c r="T30" i="19"/>
  <c r="T62" i="19" s="1"/>
  <c r="T59" i="19" s="1"/>
  <c r="T23" i="17"/>
  <c r="T32" i="17" s="1"/>
  <c r="V78" i="40"/>
  <c r="V67" i="40"/>
  <c r="V58" i="40" s="1"/>
  <c r="V57" i="40" s="1"/>
  <c r="V77" i="40"/>
  <c r="S23" i="17"/>
  <c r="S32" i="17" s="1"/>
  <c r="U22" i="17"/>
  <c r="U29" i="17" s="1"/>
  <c r="U61" i="17" s="1"/>
  <c r="U58" i="17" s="1"/>
  <c r="S29" i="17"/>
  <c r="S61" i="17" s="1"/>
  <c r="S58" i="17" s="1"/>
  <c r="M90" i="18"/>
  <c r="M89" i="18"/>
  <c r="N35" i="18"/>
  <c r="N67" i="18" s="1"/>
  <c r="N66" i="18" s="1"/>
  <c r="N57" i="18" s="1"/>
  <c r="N56" i="18" s="1"/>
  <c r="O27" i="44" s="1"/>
  <c r="W52" i="19"/>
  <c r="W60" i="19"/>
  <c r="W51" i="19"/>
  <c r="W51" i="17"/>
  <c r="W59" i="17"/>
  <c r="O29" i="18"/>
  <c r="O23" i="18"/>
  <c r="Q13" i="21" l="1"/>
  <c r="R7" i="44"/>
  <c r="Q50" i="21"/>
  <c r="N8" i="44"/>
  <c r="R12" i="21"/>
  <c r="R79" i="21" s="1"/>
  <c r="O30" i="21"/>
  <c r="O16" i="44"/>
  <c r="N33" i="21"/>
  <c r="O18" i="44" s="1"/>
  <c r="N59" i="21"/>
  <c r="M21" i="20"/>
  <c r="M58" i="21"/>
  <c r="M57" i="21" s="1"/>
  <c r="S7" i="44"/>
  <c r="M95" i="21"/>
  <c r="M96" i="21" s="1"/>
  <c r="M103" i="21" s="1"/>
  <c r="S12" i="21"/>
  <c r="S79" i="21" s="1"/>
  <c r="R13" i="21"/>
  <c r="M22" i="20"/>
  <c r="P16" i="44"/>
  <c r="N6" i="44"/>
  <c r="V11" i="22"/>
  <c r="V83" i="40"/>
  <c r="V87" i="40"/>
  <c r="V88" i="40" s="1"/>
  <c r="V95" i="40" s="1"/>
  <c r="N83" i="18"/>
  <c r="U23" i="19"/>
  <c r="U30" i="19"/>
  <c r="U62" i="19" s="1"/>
  <c r="U59" i="19" s="1"/>
  <c r="V22" i="17"/>
  <c r="W69" i="40"/>
  <c r="W70" i="40"/>
  <c r="U23" i="17"/>
  <c r="U32" i="17" s="1"/>
  <c r="N75" i="18"/>
  <c r="O69" i="18"/>
  <c r="W22" i="19"/>
  <c r="W23" i="19" s="1"/>
  <c r="V30" i="19"/>
  <c r="V62" i="19" s="1"/>
  <c r="V59" i="19" s="1"/>
  <c r="V23" i="19"/>
  <c r="O32" i="18"/>
  <c r="O61" i="18"/>
  <c r="O58" i="18" s="1"/>
  <c r="P50" i="18"/>
  <c r="O62" i="21"/>
  <c r="P51" i="21"/>
  <c r="O33" i="21"/>
  <c r="P18" i="44" s="1"/>
  <c r="R50" i="21" l="1"/>
  <c r="T12" i="21"/>
  <c r="T79" i="21" s="1"/>
  <c r="M83" i="21"/>
  <c r="M85" i="21"/>
  <c r="M86" i="21"/>
  <c r="N70" i="21"/>
  <c r="M104" i="21"/>
  <c r="M105" i="21"/>
  <c r="W33" i="44"/>
  <c r="V33" i="44"/>
  <c r="X33" i="44"/>
  <c r="S50" i="21"/>
  <c r="N5" i="44"/>
  <c r="M84" i="21"/>
  <c r="M23" i="20"/>
  <c r="M102" i="21"/>
  <c r="N69" i="21"/>
  <c r="S13" i="21"/>
  <c r="T7" i="44"/>
  <c r="O59" i="21"/>
  <c r="P8" i="44"/>
  <c r="V96" i="40"/>
  <c r="V94" i="40"/>
  <c r="V93" i="40" s="1"/>
  <c r="W22" i="17"/>
  <c r="W29" i="17" s="1"/>
  <c r="W61" i="17" s="1"/>
  <c r="W58" i="17" s="1"/>
  <c r="V97" i="40"/>
  <c r="N79" i="18"/>
  <c r="V33" i="19"/>
  <c r="W33" i="19"/>
  <c r="U33" i="19"/>
  <c r="V29" i="17"/>
  <c r="V61" i="17" s="1"/>
  <c r="V58" i="17" s="1"/>
  <c r="V23" i="17"/>
  <c r="V32" i="17" s="1"/>
  <c r="W30" i="19"/>
  <c r="W62" i="19" s="1"/>
  <c r="W59" i="19" s="1"/>
  <c r="O68" i="18"/>
  <c r="M12" i="20" l="1"/>
  <c r="L12" i="20"/>
  <c r="N61" i="44"/>
  <c r="U7" i="44"/>
  <c r="T13" i="21"/>
  <c r="U12" i="21"/>
  <c r="U79" i="21" s="1"/>
  <c r="T50" i="21"/>
  <c r="M101" i="21"/>
  <c r="V99" i="40"/>
  <c r="W102" i="40"/>
  <c r="W103" i="40" s="1"/>
  <c r="W101" i="40" s="1"/>
  <c r="W23" i="17"/>
  <c r="W32" i="17" s="1"/>
  <c r="V98" i="40"/>
  <c r="N87" i="18"/>
  <c r="N80" i="18"/>
  <c r="N85" i="18" s="1"/>
  <c r="N88" i="18"/>
  <c r="N18" i="22"/>
  <c r="E30" i="22"/>
  <c r="N17" i="22"/>
  <c r="N14" i="22"/>
  <c r="E29" i="22"/>
  <c r="N16" i="22"/>
  <c r="N15" i="22"/>
  <c r="E22" i="22"/>
  <c r="E27" i="22"/>
  <c r="E28" i="22"/>
  <c r="E31" i="22"/>
  <c r="U13" i="21" l="1"/>
  <c r="V12" i="21"/>
  <c r="V79" i="21" s="1"/>
  <c r="V7" i="44"/>
  <c r="M107" i="21"/>
  <c r="N58" i="44"/>
  <c r="U50" i="21"/>
  <c r="N60" i="44"/>
  <c r="M106" i="21"/>
  <c r="N62" i="44" s="1"/>
  <c r="N59" i="44"/>
  <c r="N110" i="21"/>
  <c r="N111" i="21" s="1"/>
  <c r="N109" i="21" s="1"/>
  <c r="N113" i="21" s="1"/>
  <c r="N100" i="21" s="1"/>
  <c r="N86" i="18"/>
  <c r="N84" i="18" s="1"/>
  <c r="W36" i="40"/>
  <c r="W106" i="40"/>
  <c r="W92" i="40" s="1"/>
  <c r="W87" i="40" s="1"/>
  <c r="W96" i="40" s="1"/>
  <c r="P52" i="21"/>
  <c r="P60" i="21"/>
  <c r="V13" i="21" l="1"/>
  <c r="W12" i="21"/>
  <c r="W79" i="21" s="1"/>
  <c r="W7" i="44"/>
  <c r="V50" i="21"/>
  <c r="N95" i="21"/>
  <c r="N105" i="21" s="1"/>
  <c r="N36" i="21"/>
  <c r="L2" i="43" a="1"/>
  <c r="L2" i="43" s="1"/>
  <c r="W68" i="40"/>
  <c r="W67" i="40" s="1"/>
  <c r="W58" i="40" s="1"/>
  <c r="W57" i="40" s="1"/>
  <c r="W83" i="40" s="1"/>
  <c r="G12" i="20" s="1"/>
  <c r="N90" i="18"/>
  <c r="N89" i="18"/>
  <c r="O93" i="18"/>
  <c r="O94" i="18" s="1"/>
  <c r="O92" i="18" s="1"/>
  <c r="O97" i="18" s="1"/>
  <c r="O83" i="18" s="1"/>
  <c r="W88" i="40"/>
  <c r="W95" i="40" s="1"/>
  <c r="W97" i="40"/>
  <c r="P23" i="21"/>
  <c r="P51" i="18"/>
  <c r="P59" i="18"/>
  <c r="X7" i="44" l="1"/>
  <c r="W13" i="21"/>
  <c r="W50" i="21"/>
  <c r="O13" i="44"/>
  <c r="N90" i="21"/>
  <c r="N91" i="21" s="1"/>
  <c r="N68" i="21"/>
  <c r="N67" i="21" s="1"/>
  <c r="N58" i="21" s="1"/>
  <c r="N57" i="21" s="1"/>
  <c r="N104" i="21"/>
  <c r="N96" i="21"/>
  <c r="N103" i="21" s="1"/>
  <c r="K2" i="43" a="1"/>
  <c r="K2" i="43" s="1"/>
  <c r="W77" i="40"/>
  <c r="I12" i="20" s="1"/>
  <c r="W78" i="40"/>
  <c r="O35" i="18"/>
  <c r="O67" i="18" s="1"/>
  <c r="O66" i="18" s="1"/>
  <c r="O57" i="18" s="1"/>
  <c r="O56" i="18" s="1"/>
  <c r="W94" i="40"/>
  <c r="W11" i="22"/>
  <c r="J12" i="20"/>
  <c r="O79" i="18"/>
  <c r="O80" i="18" s="1"/>
  <c r="O86" i="18" s="1"/>
  <c r="P24" i="21"/>
  <c r="P30" i="21"/>
  <c r="P22" i="18"/>
  <c r="O10" i="44" l="1"/>
  <c r="N77" i="21"/>
  <c r="N78" i="21"/>
  <c r="N88" i="21" s="1"/>
  <c r="N102" i="21"/>
  <c r="O5" i="44"/>
  <c r="O69" i="21"/>
  <c r="N83" i="21"/>
  <c r="N85" i="21"/>
  <c r="O70" i="21"/>
  <c r="N86" i="21"/>
  <c r="N84" i="21"/>
  <c r="Q16" i="44"/>
  <c r="P69" i="18"/>
  <c r="P27" i="44"/>
  <c r="O75" i="18"/>
  <c r="W93" i="40"/>
  <c r="W99" i="40" s="1"/>
  <c r="O85" i="18"/>
  <c r="O84" i="18" s="1"/>
  <c r="O88" i="18"/>
  <c r="O87" i="18"/>
  <c r="O18" i="22"/>
  <c r="F29" i="22"/>
  <c r="F30" i="22"/>
  <c r="F31" i="22"/>
  <c r="F28" i="22"/>
  <c r="O17" i="22"/>
  <c r="F27" i="22"/>
  <c r="O16" i="22"/>
  <c r="O15" i="22"/>
  <c r="O14" i="22"/>
  <c r="F22" i="22"/>
  <c r="P62" i="21"/>
  <c r="Q51" i="21"/>
  <c r="P23" i="18"/>
  <c r="P29" i="18"/>
  <c r="P33" i="21"/>
  <c r="Q18" i="44" s="1"/>
  <c r="O87" i="21" l="1"/>
  <c r="O6" i="44"/>
  <c r="O61" i="44"/>
  <c r="N101" i="21"/>
  <c r="P59" i="21"/>
  <c r="Q8" i="44"/>
  <c r="P93" i="18"/>
  <c r="P94" i="18" s="1"/>
  <c r="P92" i="18" s="1"/>
  <c r="P97" i="18" s="1"/>
  <c r="W98" i="40"/>
  <c r="O90" i="18"/>
  <c r="O89" i="18"/>
  <c r="P32" i="18"/>
  <c r="P61" i="18"/>
  <c r="P58" i="18" s="1"/>
  <c r="Q50" i="18"/>
  <c r="O59" i="44" l="1"/>
  <c r="O58" i="44"/>
  <c r="O60" i="44"/>
  <c r="N106" i="21"/>
  <c r="O62" i="44" s="1"/>
  <c r="O110" i="21"/>
  <c r="O111" i="21" s="1"/>
  <c r="O109" i="21" s="1"/>
  <c r="N107" i="21"/>
  <c r="P35" i="18"/>
  <c r="P67" i="18" s="1"/>
  <c r="P83" i="18"/>
  <c r="P68" i="18"/>
  <c r="O36" i="21" l="1"/>
  <c r="O113" i="21"/>
  <c r="O100" i="21" s="1"/>
  <c r="P66" i="18"/>
  <c r="P57" i="18" s="1"/>
  <c r="P56" i="18" s="1"/>
  <c r="P79" i="18"/>
  <c r="P80" i="18" s="1"/>
  <c r="Q60" i="21"/>
  <c r="Q52" i="21"/>
  <c r="O95" i="21" l="1"/>
  <c r="O104" i="21" s="1"/>
  <c r="O90" i="21"/>
  <c r="O91" i="21" s="1"/>
  <c r="O68" i="21"/>
  <c r="P13" i="44"/>
  <c r="Q69" i="18"/>
  <c r="Q27" i="44"/>
  <c r="P75" i="18"/>
  <c r="P88" i="18"/>
  <c r="P87" i="18"/>
  <c r="P85" i="18"/>
  <c r="Q23" i="21"/>
  <c r="Q59" i="18"/>
  <c r="Q51" i="18"/>
  <c r="P86" i="18"/>
  <c r="P10" i="44" l="1"/>
  <c r="O67" i="21"/>
  <c r="O58" i="21" s="1"/>
  <c r="O57" i="21" s="1"/>
  <c r="O78" i="21"/>
  <c r="O77" i="21"/>
  <c r="P87" i="21" s="1"/>
  <c r="O105" i="21"/>
  <c r="O96" i="21"/>
  <c r="Q22" i="18"/>
  <c r="Q30" i="21"/>
  <c r="Q24" i="21"/>
  <c r="P84" i="18"/>
  <c r="O102" i="21" l="1"/>
  <c r="O103" i="21"/>
  <c r="P6" i="44"/>
  <c r="O88" i="21"/>
  <c r="P69" i="21"/>
  <c r="P70" i="21"/>
  <c r="O86" i="21"/>
  <c r="O85" i="21"/>
  <c r="O84" i="21"/>
  <c r="P5" i="44"/>
  <c r="O83" i="21"/>
  <c r="R16" i="44"/>
  <c r="Q62" i="21"/>
  <c r="R51" i="21"/>
  <c r="Q29" i="18"/>
  <c r="Q23" i="18"/>
  <c r="P90" i="18"/>
  <c r="Q93" i="18"/>
  <c r="Q94" i="18" s="1"/>
  <c r="Q92" i="18" s="1"/>
  <c r="Q33" i="21"/>
  <c r="R18" i="44" s="1"/>
  <c r="P89" i="18"/>
  <c r="P61" i="44" l="1"/>
  <c r="O101" i="21"/>
  <c r="Q59" i="21"/>
  <c r="R8" i="44"/>
  <c r="Q97" i="18"/>
  <c r="P18" i="22"/>
  <c r="P14" i="22"/>
  <c r="P17" i="22"/>
  <c r="P16" i="22"/>
  <c r="G28" i="22"/>
  <c r="G22" i="22"/>
  <c r="G30" i="22"/>
  <c r="P15" i="22"/>
  <c r="G29" i="22"/>
  <c r="G27" i="22"/>
  <c r="G31" i="22"/>
  <c r="Q61" i="18"/>
  <c r="Q58" i="18" s="1"/>
  <c r="R50" i="18"/>
  <c r="Q35" i="18"/>
  <c r="Q32" i="18"/>
  <c r="Q68" i="18" s="1"/>
  <c r="O106" i="21" l="1"/>
  <c r="P62" i="44" s="1"/>
  <c r="P58" i="44"/>
  <c r="P60" i="44"/>
  <c r="P59" i="44"/>
  <c r="P110" i="21"/>
  <c r="P111" i="21" s="1"/>
  <c r="P109" i="21" s="1"/>
  <c r="P113" i="21" s="1"/>
  <c r="P100" i="21" s="1"/>
  <c r="O107" i="21"/>
  <c r="Q83" i="18"/>
  <c r="Q79" i="18" s="1"/>
  <c r="Q80" i="18" s="1"/>
  <c r="Q67" i="18"/>
  <c r="Q66" i="18" s="1"/>
  <c r="Q57" i="18" s="1"/>
  <c r="Q56" i="18" s="1"/>
  <c r="R27" i="44" s="1"/>
  <c r="P36" i="21" l="1"/>
  <c r="P95" i="21"/>
  <c r="P105" i="21" s="1"/>
  <c r="Q87" i="18"/>
  <c r="Q85" i="18"/>
  <c r="R52" i="21"/>
  <c r="R60" i="21"/>
  <c r="R69" i="18"/>
  <c r="Q75" i="18"/>
  <c r="Q88" i="18"/>
  <c r="Q86" i="18"/>
  <c r="Q13" i="44" l="1"/>
  <c r="P90" i="21"/>
  <c r="P91" i="21" s="1"/>
  <c r="P68" i="21"/>
  <c r="P67" i="21" s="1"/>
  <c r="P58" i="21" s="1"/>
  <c r="P57" i="21" s="1"/>
  <c r="P104" i="21"/>
  <c r="P96" i="21"/>
  <c r="P102" i="21" s="1"/>
  <c r="Q84" i="18"/>
  <c r="Q89" i="18" s="1"/>
  <c r="R23" i="21"/>
  <c r="R59" i="18"/>
  <c r="R51" i="18"/>
  <c r="Q10" i="44" l="1"/>
  <c r="P78" i="21"/>
  <c r="P88" i="21" s="1"/>
  <c r="P77" i="21"/>
  <c r="Q87" i="21" s="1"/>
  <c r="P103" i="21"/>
  <c r="Q61" i="44" s="1"/>
  <c r="Q69" i="21"/>
  <c r="P84" i="21"/>
  <c r="Q5" i="44"/>
  <c r="Q70" i="21"/>
  <c r="P85" i="21"/>
  <c r="P86" i="21"/>
  <c r="P83" i="21"/>
  <c r="Q90" i="18"/>
  <c r="R93" i="18"/>
  <c r="R94" i="18" s="1"/>
  <c r="R92" i="18" s="1"/>
  <c r="R24" i="21"/>
  <c r="R30" i="21"/>
  <c r="R22" i="18"/>
  <c r="Q6" i="44" l="1"/>
  <c r="P101" i="21"/>
  <c r="S16" i="44"/>
  <c r="R35" i="18"/>
  <c r="Q17" i="22"/>
  <c r="Q14" i="22"/>
  <c r="H28" i="22"/>
  <c r="Q16" i="22"/>
  <c r="H27" i="22"/>
  <c r="Q18" i="22"/>
  <c r="Q15" i="22"/>
  <c r="H29" i="22"/>
  <c r="H22" i="22"/>
  <c r="H31" i="22"/>
  <c r="H30" i="22"/>
  <c r="R62" i="21"/>
  <c r="S51" i="21"/>
  <c r="R29" i="18"/>
  <c r="R23" i="18"/>
  <c r="R97" i="18" s="1"/>
  <c r="R33" i="21"/>
  <c r="S18" i="44" s="1"/>
  <c r="Q60" i="44" l="1"/>
  <c r="Q58" i="44"/>
  <c r="Q59" i="44"/>
  <c r="Q110" i="21"/>
  <c r="Q111" i="21" s="1"/>
  <c r="Q109" i="21" s="1"/>
  <c r="Q113" i="21" s="1"/>
  <c r="Q100" i="21" s="1"/>
  <c r="P106" i="21"/>
  <c r="Q62" i="44" s="1"/>
  <c r="P107" i="21"/>
  <c r="R59" i="21"/>
  <c r="S8" i="44"/>
  <c r="R61" i="18"/>
  <c r="R58" i="18" s="1"/>
  <c r="S50" i="18"/>
  <c r="R32" i="18"/>
  <c r="R67" i="18" s="1"/>
  <c r="Q36" i="21" l="1"/>
  <c r="Q95" i="21"/>
  <c r="R83" i="18"/>
  <c r="R79" i="18" s="1"/>
  <c r="R80" i="18" s="1"/>
  <c r="R68" i="18"/>
  <c r="R66" i="18" s="1"/>
  <c r="R57" i="18" s="1"/>
  <c r="R56" i="18" s="1"/>
  <c r="S27" i="44" s="1"/>
  <c r="R13" i="44" l="1"/>
  <c r="Q68" i="21"/>
  <c r="Q78" i="21" s="1"/>
  <c r="Q90" i="21"/>
  <c r="Q91" i="21" s="1"/>
  <c r="Q105" i="21"/>
  <c r="Q104" i="21"/>
  <c r="Q96" i="21"/>
  <c r="Q103" i="21" s="1"/>
  <c r="R10" i="44"/>
  <c r="Q67" i="21"/>
  <c r="Q58" i="21" s="1"/>
  <c r="Q57" i="21" s="1"/>
  <c r="R18" i="22"/>
  <c r="R15" i="22"/>
  <c r="R14" i="22"/>
  <c r="R17" i="22"/>
  <c r="H12" i="20" s="1"/>
  <c r="R16" i="22"/>
  <c r="I27" i="22"/>
  <c r="I28" i="22"/>
  <c r="I22" i="22"/>
  <c r="I31" i="22"/>
  <c r="I29" i="22"/>
  <c r="I30" i="22"/>
  <c r="R88" i="18"/>
  <c r="R85" i="18"/>
  <c r="R87" i="18"/>
  <c r="R86" i="18"/>
  <c r="S52" i="21"/>
  <c r="S60" i="21"/>
  <c r="R75" i="18"/>
  <c r="S69" i="18"/>
  <c r="Q77" i="21" l="1"/>
  <c r="R87" i="21" s="1"/>
  <c r="I36" i="44"/>
  <c r="Q102" i="21"/>
  <c r="R70" i="21"/>
  <c r="R5" i="44"/>
  <c r="Q83" i="21"/>
  <c r="Q84" i="21"/>
  <c r="Q85" i="21"/>
  <c r="R69" i="21"/>
  <c r="Q86" i="21"/>
  <c r="Q88" i="21"/>
  <c r="R84" i="18"/>
  <c r="R90" i="18" s="1"/>
  <c r="S23" i="21"/>
  <c r="S51" i="18"/>
  <c r="S59" i="18"/>
  <c r="O36" i="44" l="1"/>
  <c r="S36" i="44" s="1" a="1"/>
  <c r="S36" i="44" s="1"/>
  <c r="P36" i="44"/>
  <c r="R36" i="44" s="1"/>
  <c r="R6" i="44"/>
  <c r="J36" i="44" a="1"/>
  <c r="J36" i="44" s="1"/>
  <c r="V36" i="44" s="1"/>
  <c r="K36" i="44" a="1"/>
  <c r="K36" i="44" s="1"/>
  <c r="M36" i="44" a="1"/>
  <c r="M36" i="44" s="1"/>
  <c r="L36" i="44" a="1"/>
  <c r="L36" i="44" s="1"/>
  <c r="R61" i="44"/>
  <c r="Q101" i="21"/>
  <c r="R89" i="18"/>
  <c r="S93" i="18"/>
  <c r="S94" i="18" s="1"/>
  <c r="S92" i="18" s="1"/>
  <c r="S30" i="21"/>
  <c r="S24" i="21"/>
  <c r="S22" i="18"/>
  <c r="T36" i="44" l="1"/>
  <c r="W36" i="44"/>
  <c r="R59" i="44"/>
  <c r="R58" i="44"/>
  <c r="Q36" i="44" a="1"/>
  <c r="Q36" i="44" s="1"/>
  <c r="R60" i="44"/>
  <c r="R110" i="21"/>
  <c r="R111" i="21" s="1"/>
  <c r="R109" i="21" s="1"/>
  <c r="Q106" i="21"/>
  <c r="R62" i="44" s="1"/>
  <c r="Q107" i="21"/>
  <c r="T16" i="44"/>
  <c r="S35" i="18"/>
  <c r="S62" i="21"/>
  <c r="T51" i="21"/>
  <c r="S29" i="18"/>
  <c r="S23" i="18"/>
  <c r="S97" i="18" s="1"/>
  <c r="S33" i="21"/>
  <c r="T18" i="44" s="1"/>
  <c r="F36" i="44" l="1"/>
  <c r="R113" i="21"/>
  <c r="R100" i="21" s="1"/>
  <c r="R36" i="21"/>
  <c r="S59" i="21"/>
  <c r="T8" i="44"/>
  <c r="S32" i="18"/>
  <c r="S67" i="18" s="1"/>
  <c r="S61" i="18"/>
  <c r="S58" i="18" s="1"/>
  <c r="T50" i="18"/>
  <c r="S13" i="44" l="1"/>
  <c r="R68" i="21"/>
  <c r="R90" i="21"/>
  <c r="R91" i="21" s="1"/>
  <c r="R95" i="21"/>
  <c r="S83" i="18"/>
  <c r="S68" i="18"/>
  <c r="S66" i="18" s="1"/>
  <c r="S57" i="18" s="1"/>
  <c r="S56" i="18" s="1"/>
  <c r="T27" i="44" s="1"/>
  <c r="R96" i="21" l="1"/>
  <c r="R103" i="21" s="1"/>
  <c r="R104" i="21"/>
  <c r="S10" i="44"/>
  <c r="R78" i="21"/>
  <c r="R77" i="21"/>
  <c r="S87" i="21" s="1"/>
  <c r="R67" i="21"/>
  <c r="R58" i="21" s="1"/>
  <c r="R57" i="21" s="1"/>
  <c r="R105" i="21"/>
  <c r="S79" i="18"/>
  <c r="S80" i="18" s="1"/>
  <c r="T69" i="18"/>
  <c r="S75" i="18"/>
  <c r="T52" i="21"/>
  <c r="T60" i="21"/>
  <c r="R102" i="21" l="1"/>
  <c r="S60" i="44" s="1"/>
  <c r="S61" i="44"/>
  <c r="S6" i="44"/>
  <c r="R88" i="21"/>
  <c r="S70" i="21"/>
  <c r="S5" i="44"/>
  <c r="R84" i="21"/>
  <c r="S69" i="21"/>
  <c r="R83" i="21"/>
  <c r="R85" i="21"/>
  <c r="R86" i="21"/>
  <c r="S85" i="18"/>
  <c r="S86" i="18"/>
  <c r="S87" i="18"/>
  <c r="S88" i="18"/>
  <c r="T23" i="21"/>
  <c r="T51" i="18"/>
  <c r="T59" i="18"/>
  <c r="R101" i="21" l="1"/>
  <c r="S84" i="18"/>
  <c r="S90" i="18" s="1"/>
  <c r="T22" i="18"/>
  <c r="T24" i="21"/>
  <c r="T30" i="21"/>
  <c r="R107" i="21" l="1"/>
  <c r="S58" i="44"/>
  <c r="S59" i="44"/>
  <c r="R106" i="21"/>
  <c r="S62" i="44" s="1"/>
  <c r="S110" i="21"/>
  <c r="S111" i="21" s="1"/>
  <c r="S109" i="21" s="1"/>
  <c r="S36" i="21" s="1"/>
  <c r="S89" i="18"/>
  <c r="T93" i="18"/>
  <c r="T94" i="18" s="1"/>
  <c r="T92" i="18" s="1"/>
  <c r="T35" i="18" s="1"/>
  <c r="U16" i="44"/>
  <c r="T62" i="21"/>
  <c r="U51" i="21"/>
  <c r="T33" i="21"/>
  <c r="T29" i="18"/>
  <c r="T23" i="18"/>
  <c r="S90" i="21" l="1"/>
  <c r="S91" i="21" s="1"/>
  <c r="S68" i="21"/>
  <c r="S67" i="21" s="1"/>
  <c r="S58" i="21" s="1"/>
  <c r="S57" i="21" s="1"/>
  <c r="T69" i="21" s="1"/>
  <c r="T13" i="44"/>
  <c r="S113" i="21"/>
  <c r="S100" i="21" s="1"/>
  <c r="T97" i="18"/>
  <c r="T10" i="44"/>
  <c r="T59" i="21"/>
  <c r="U8" i="44"/>
  <c r="U18" i="44"/>
  <c r="T61" i="18"/>
  <c r="T58" i="18" s="1"/>
  <c r="U50" i="18"/>
  <c r="T32" i="18"/>
  <c r="T67" i="18" s="1"/>
  <c r="S77" i="21" l="1"/>
  <c r="T6" i="44" s="1"/>
  <c r="S78" i="21"/>
  <c r="S88" i="21" s="1"/>
  <c r="S95" i="21"/>
  <c r="S96" i="21" s="1"/>
  <c r="S103" i="21" s="1"/>
  <c r="S85" i="21"/>
  <c r="S86" i="21"/>
  <c r="S83" i="21"/>
  <c r="S84" i="21"/>
  <c r="T70" i="21"/>
  <c r="T5" i="44"/>
  <c r="T83" i="18"/>
  <c r="T79" i="18" s="1"/>
  <c r="T80" i="18" s="1"/>
  <c r="T68" i="18"/>
  <c r="T66" i="18" s="1"/>
  <c r="T57" i="18" s="1"/>
  <c r="T56" i="18" s="1"/>
  <c r="T87" i="21" l="1"/>
  <c r="S102" i="21"/>
  <c r="S101" i="21" s="1"/>
  <c r="T58" i="44" s="1"/>
  <c r="S105" i="21"/>
  <c r="S104" i="21"/>
  <c r="T61" i="44" s="1"/>
  <c r="T60" i="44"/>
  <c r="U27" i="44"/>
  <c r="T75" i="18"/>
  <c r="U69" i="18"/>
  <c r="U60" i="21"/>
  <c r="U52" i="21"/>
  <c r="T88" i="18"/>
  <c r="T85" i="18"/>
  <c r="T87" i="18"/>
  <c r="T86" i="18"/>
  <c r="T59" i="44" l="1"/>
  <c r="S107" i="21"/>
  <c r="T110" i="21"/>
  <c r="T111" i="21" s="1"/>
  <c r="T109" i="21" s="1"/>
  <c r="T62" i="44"/>
  <c r="S106" i="21"/>
  <c r="T84" i="18"/>
  <c r="T90" i="18" s="1"/>
  <c r="U59" i="18"/>
  <c r="U51" i="18"/>
  <c r="U23" i="21"/>
  <c r="T113" i="21" l="1"/>
  <c r="T100" i="21" s="1"/>
  <c r="T95" i="21" s="1"/>
  <c r="T96" i="21" s="1"/>
  <c r="T36" i="21"/>
  <c r="U13" i="44"/>
  <c r="T89" i="18"/>
  <c r="U93" i="18"/>
  <c r="U94" i="18" s="1"/>
  <c r="U92" i="18" s="1"/>
  <c r="U30" i="21"/>
  <c r="U24" i="21"/>
  <c r="U22" i="18"/>
  <c r="T68" i="21" l="1"/>
  <c r="T67" i="21" s="1"/>
  <c r="T58" i="21" s="1"/>
  <c r="T57" i="21" s="1"/>
  <c r="T90" i="21"/>
  <c r="T91" i="21" s="1"/>
  <c r="T103" i="21"/>
  <c r="T104" i="21"/>
  <c r="U61" i="44" s="1"/>
  <c r="T102" i="21"/>
  <c r="T105" i="21"/>
  <c r="U10" i="44"/>
  <c r="V16" i="44"/>
  <c r="U35" i="18"/>
  <c r="U62" i="21"/>
  <c r="V51" i="21"/>
  <c r="U23" i="18"/>
  <c r="U97" i="18" s="1"/>
  <c r="U29" i="18"/>
  <c r="U33" i="21"/>
  <c r="T77" i="21" l="1"/>
  <c r="U87" i="21" s="1"/>
  <c r="T78" i="21"/>
  <c r="T88" i="21" s="1"/>
  <c r="T101" i="21"/>
  <c r="T106" i="21" s="1"/>
  <c r="U62" i="44" s="1"/>
  <c r="U6" i="44"/>
  <c r="U60" i="44"/>
  <c r="T86" i="21"/>
  <c r="T85" i="21"/>
  <c r="T84" i="21"/>
  <c r="U70" i="21"/>
  <c r="T83" i="21"/>
  <c r="U5" i="44"/>
  <c r="V18" i="44"/>
  <c r="U59" i="21"/>
  <c r="V8" i="44"/>
  <c r="U69" i="21"/>
  <c r="U61" i="18"/>
  <c r="U58" i="18" s="1"/>
  <c r="V50" i="18"/>
  <c r="U32" i="18"/>
  <c r="U67" i="18" s="1"/>
  <c r="U110" i="21" l="1"/>
  <c r="U111" i="21" s="1"/>
  <c r="U109" i="21" s="1"/>
  <c r="U36" i="21" s="1"/>
  <c r="T107" i="21"/>
  <c r="U59" i="44"/>
  <c r="U58" i="44"/>
  <c r="U83" i="18"/>
  <c r="U79" i="18" s="1"/>
  <c r="U80" i="18" s="1"/>
  <c r="U68" i="18"/>
  <c r="U66" i="18" s="1"/>
  <c r="U57" i="18" s="1"/>
  <c r="U56" i="18" s="1"/>
  <c r="V27" i="44" s="1"/>
  <c r="U113" i="21" l="1"/>
  <c r="U100" i="21" s="1"/>
  <c r="U95" i="21" s="1"/>
  <c r="U96" i="21" s="1"/>
  <c r="U102" i="21" s="1"/>
  <c r="V13" i="44"/>
  <c r="U90" i="21"/>
  <c r="U91" i="21" s="1"/>
  <c r="U68" i="21"/>
  <c r="U103" i="21"/>
  <c r="U101" i="21" s="1"/>
  <c r="V59" i="44" s="1"/>
  <c r="U105" i="21"/>
  <c r="U104" i="21"/>
  <c r="V69" i="18"/>
  <c r="U75" i="18"/>
  <c r="U87" i="18"/>
  <c r="U88" i="18"/>
  <c r="U86" i="18"/>
  <c r="U85" i="18"/>
  <c r="V52" i="21"/>
  <c r="V60" i="21"/>
  <c r="V58" i="44" l="1"/>
  <c r="V61" i="44"/>
  <c r="V10" i="44"/>
  <c r="U78" i="21"/>
  <c r="U77" i="21"/>
  <c r="V87" i="21" s="1"/>
  <c r="U67" i="21"/>
  <c r="U58" i="21" s="1"/>
  <c r="U57" i="21" s="1"/>
  <c r="V60" i="44"/>
  <c r="U84" i="18"/>
  <c r="V93" i="18" s="1"/>
  <c r="V94" i="18" s="1"/>
  <c r="V92" i="18" s="1"/>
  <c r="V110" i="21"/>
  <c r="V111" i="21" s="1"/>
  <c r="U107" i="21"/>
  <c r="V23" i="21"/>
  <c r="U106" i="21"/>
  <c r="V62" i="44" s="1"/>
  <c r="V51" i="18"/>
  <c r="V59" i="18"/>
  <c r="V70" i="21" l="1"/>
  <c r="U85" i="21"/>
  <c r="U86" i="21"/>
  <c r="U83" i="21"/>
  <c r="V5" i="44"/>
  <c r="U84" i="21"/>
  <c r="V6" i="44"/>
  <c r="U88" i="21"/>
  <c r="V109" i="21"/>
  <c r="U90" i="18"/>
  <c r="U89" i="18"/>
  <c r="V22" i="18"/>
  <c r="V24" i="21"/>
  <c r="V30" i="21"/>
  <c r="V35" i="18"/>
  <c r="V36" i="21" l="1"/>
  <c r="W16" i="44"/>
  <c r="V113" i="21"/>
  <c r="V62" i="21"/>
  <c r="W51" i="21"/>
  <c r="V33" i="21"/>
  <c r="V23" i="18"/>
  <c r="V97" i="18" s="1"/>
  <c r="V29" i="18"/>
  <c r="W13" i="44" l="1"/>
  <c r="V90" i="21"/>
  <c r="V91" i="21" s="1"/>
  <c r="V68" i="21"/>
  <c r="W10" i="44" s="1"/>
  <c r="W18" i="44"/>
  <c r="V59" i="21"/>
  <c r="W8" i="44"/>
  <c r="V100" i="21"/>
  <c r="V61" i="18"/>
  <c r="V58" i="18" s="1"/>
  <c r="W50" i="18"/>
  <c r="V69" i="21"/>
  <c r="V32" i="18"/>
  <c r="V67" i="18" s="1"/>
  <c r="V67" i="21" l="1"/>
  <c r="V78" i="21"/>
  <c r="V88" i="21" s="1"/>
  <c r="V77" i="21"/>
  <c r="W87" i="21" s="1"/>
  <c r="V58" i="21"/>
  <c r="V57" i="21" s="1"/>
  <c r="W5" i="44" s="1"/>
  <c r="V95" i="21"/>
  <c r="V96" i="21" s="1"/>
  <c r="V103" i="21" s="1"/>
  <c r="V83" i="18"/>
  <c r="V79" i="18" s="1"/>
  <c r="V80" i="18" s="1"/>
  <c r="V68" i="18"/>
  <c r="V66" i="18" s="1"/>
  <c r="V57" i="18" s="1"/>
  <c r="V56" i="18" s="1"/>
  <c r="W27" i="44" s="1"/>
  <c r="V85" i="21" l="1"/>
  <c r="V86" i="21"/>
  <c r="V83" i="21"/>
  <c r="V84" i="21"/>
  <c r="W6" i="44"/>
  <c r="W70" i="21"/>
  <c r="V104" i="21"/>
  <c r="V105" i="21"/>
  <c r="V102" i="21"/>
  <c r="V87" i="18"/>
  <c r="V86" i="18"/>
  <c r="V88" i="18"/>
  <c r="V75" i="18"/>
  <c r="W69" i="18"/>
  <c r="W60" i="21"/>
  <c r="W52" i="21"/>
  <c r="V85" i="18"/>
  <c r="W61" i="44" l="1"/>
  <c r="V101" i="21"/>
  <c r="W23" i="21"/>
  <c r="W30" i="21" s="1"/>
  <c r="W62" i="21" s="1"/>
  <c r="X8" i="44" s="1"/>
  <c r="V84" i="18"/>
  <c r="W93" i="18" s="1"/>
  <c r="W94" i="18" s="1"/>
  <c r="W92" i="18" s="1"/>
  <c r="W59" i="18"/>
  <c r="W51" i="18"/>
  <c r="V106" i="21" l="1"/>
  <c r="W62" i="44" s="1"/>
  <c r="W58" i="44"/>
  <c r="W110" i="21"/>
  <c r="W111" i="21" s="1"/>
  <c r="W109" i="21" s="1"/>
  <c r="W60" i="44"/>
  <c r="W59" i="44"/>
  <c r="V107" i="21"/>
  <c r="W24" i="21"/>
  <c r="W22" i="18"/>
  <c r="W23" i="18" s="1"/>
  <c r="W97" i="18" s="1"/>
  <c r="V89" i="18"/>
  <c r="V90" i="18"/>
  <c r="W59" i="21"/>
  <c r="W35" i="18"/>
  <c r="W36" i="21" l="1"/>
  <c r="X16" i="44"/>
  <c r="W113" i="21"/>
  <c r="W100" i="21" s="1"/>
  <c r="W33" i="21"/>
  <c r="W29" i="18"/>
  <c r="W61" i="18" s="1"/>
  <c r="W58" i="18" s="1"/>
  <c r="W32" i="18"/>
  <c r="W67" i="18" s="1"/>
  <c r="X13" i="44" l="1"/>
  <c r="W90" i="21"/>
  <c r="W91" i="21" s="1"/>
  <c r="W95" i="21"/>
  <c r="W96" i="21" s="1"/>
  <c r="W103" i="21" s="1"/>
  <c r="W68" i="21"/>
  <c r="W77" i="21" s="1"/>
  <c r="X18" i="44"/>
  <c r="W83" i="18"/>
  <c r="W79" i="18" s="1"/>
  <c r="W80" i="18" s="1"/>
  <c r="W85" i="18" s="1"/>
  <c r="W69" i="21"/>
  <c r="W68" i="18"/>
  <c r="W66" i="18" s="1"/>
  <c r="W57" i="18" s="1"/>
  <c r="W56" i="18" s="1"/>
  <c r="W105" i="21" l="1"/>
  <c r="W102" i="21"/>
  <c r="W101" i="21" s="1"/>
  <c r="W104" i="21"/>
  <c r="X61" i="44" s="1"/>
  <c r="W67" i="21"/>
  <c r="W58" i="21" s="1"/>
  <c r="W57" i="21" s="1"/>
  <c r="X27" i="44"/>
  <c r="J14" i="20"/>
  <c r="X6" i="44"/>
  <c r="W78" i="21"/>
  <c r="W88" i="21" s="1"/>
  <c r="X10" i="44"/>
  <c r="W87" i="18"/>
  <c r="W88" i="18"/>
  <c r="W86" i="18"/>
  <c r="W84" i="18" s="1"/>
  <c r="W75" i="18"/>
  <c r="G14" i="20" s="1"/>
  <c r="X5" i="44" l="1"/>
  <c r="W86" i="21"/>
  <c r="W85" i="21"/>
  <c r="W84" i="21"/>
  <c r="W83" i="21"/>
  <c r="W107" i="21"/>
  <c r="X58" i="44"/>
  <c r="X60" i="44"/>
  <c r="X59" i="44"/>
  <c r="W90" i="18"/>
  <c r="W89" i="18"/>
  <c r="W106" i="21"/>
  <c r="X62" i="44" s="1"/>
  <c r="H93" i="17"/>
  <c r="H94" i="17" s="1"/>
  <c r="H92" i="17" s="1"/>
  <c r="H97" i="17" s="1"/>
  <c r="H83" i="17" s="1"/>
  <c r="H35" i="17" l="1"/>
  <c r="H67" i="17" s="1"/>
  <c r="H66" i="17" s="1"/>
  <c r="H57" i="17" s="1"/>
  <c r="H56" i="17" s="1"/>
  <c r="I23" i="44" s="1"/>
  <c r="H79" i="17" l="1"/>
  <c r="H80" i="17" s="1"/>
  <c r="I69" i="17"/>
  <c r="I68" i="17"/>
  <c r="H87" i="17" l="1"/>
  <c r="H86" i="17"/>
  <c r="H85" i="17"/>
  <c r="H88" i="17"/>
  <c r="H84" i="17" l="1"/>
  <c r="I93" i="17" s="1"/>
  <c r="I94" i="17" s="1"/>
  <c r="I92" i="17" s="1"/>
  <c r="I97" i="17" s="1"/>
  <c r="I83" i="17" s="1"/>
  <c r="H89" i="17" l="1"/>
  <c r="H90" i="17"/>
  <c r="I35" i="17"/>
  <c r="I67" i="17" s="1"/>
  <c r="I66" i="17" s="1"/>
  <c r="I57" i="17" s="1"/>
  <c r="I56" i="17" s="1"/>
  <c r="J23" i="44" s="1"/>
  <c r="I79" i="17" l="1"/>
  <c r="I80" i="17" s="1"/>
  <c r="J68" i="17"/>
  <c r="J69" i="17"/>
  <c r="I87" i="17" l="1"/>
  <c r="I88" i="17"/>
  <c r="I86" i="17"/>
  <c r="I85" i="17"/>
  <c r="I84" i="17" l="1"/>
  <c r="J93" i="17" s="1"/>
  <c r="J94" i="17" s="1"/>
  <c r="J92" i="17" s="1"/>
  <c r="J97" i="17" s="1"/>
  <c r="J83" i="17" s="1"/>
  <c r="I89" i="17" l="1"/>
  <c r="I90" i="17"/>
  <c r="J35" i="17"/>
  <c r="J67" i="17" s="1"/>
  <c r="J66" i="17" s="1"/>
  <c r="J57" i="17" s="1"/>
  <c r="J56" i="17" s="1"/>
  <c r="K23" i="44" s="1"/>
  <c r="K37" i="17" l="1"/>
  <c r="K36" i="17"/>
  <c r="K68" i="17"/>
  <c r="K69" i="17"/>
  <c r="J79" i="17"/>
  <c r="J80" i="17" s="1"/>
  <c r="L24" i="44" l="1"/>
  <c r="L25" i="44"/>
  <c r="J88" i="17"/>
  <c r="J85" i="17"/>
  <c r="J87" i="17"/>
  <c r="J86" i="17"/>
  <c r="J84" i="17" l="1"/>
  <c r="J89" i="17" s="1"/>
  <c r="K93" i="17" l="1"/>
  <c r="K94" i="17" s="1"/>
  <c r="K92" i="17" s="1"/>
  <c r="K97" i="17" s="1"/>
  <c r="K83" i="17" s="1"/>
  <c r="J90" i="17"/>
  <c r="K35" i="17" l="1"/>
  <c r="K67" i="17" s="1"/>
  <c r="K66" i="17" s="1"/>
  <c r="K57" i="17" s="1"/>
  <c r="K56" i="17" s="1"/>
  <c r="K79" i="17"/>
  <c r="K80" i="17" s="1"/>
  <c r="L69" i="17" l="1"/>
  <c r="L23" i="44"/>
  <c r="K75" i="17"/>
  <c r="L68" i="17"/>
  <c r="K86" i="17"/>
  <c r="K88" i="17"/>
  <c r="K85" i="17"/>
  <c r="K87" i="17"/>
  <c r="K84" i="17" l="1"/>
  <c r="K90" i="17" s="1"/>
  <c r="K89" i="17" l="1"/>
  <c r="L93" i="17"/>
  <c r="L94" i="17" s="1"/>
  <c r="L92" i="17" s="1"/>
  <c r="L97" i="17" s="1"/>
  <c r="L83" i="17" s="1"/>
  <c r="L79" i="17" l="1"/>
  <c r="L80" i="17" s="1"/>
  <c r="L35" i="17"/>
  <c r="L67" i="17" s="1"/>
  <c r="L66" i="17" s="1"/>
  <c r="L57" i="17" s="1"/>
  <c r="L56" i="17" s="1"/>
  <c r="L75" i="17" l="1"/>
  <c r="M23" i="44"/>
  <c r="M69" i="17"/>
  <c r="M68" i="17"/>
  <c r="L87" i="17"/>
  <c r="L86" i="17"/>
  <c r="L85" i="17"/>
  <c r="L88" i="17"/>
  <c r="L84" i="17" l="1"/>
  <c r="L89" i="17" s="1"/>
  <c r="M93" i="17" l="1"/>
  <c r="M94" i="17" s="1"/>
  <c r="M92" i="17" s="1"/>
  <c r="M97" i="17" s="1"/>
  <c r="M83" i="17" s="1"/>
  <c r="L90" i="17"/>
  <c r="M35" i="17" l="1"/>
  <c r="M67" i="17" s="1"/>
  <c r="M66" i="17" s="1"/>
  <c r="M57" i="17" s="1"/>
  <c r="M56" i="17" s="1"/>
  <c r="N69" i="17" l="1"/>
  <c r="N23" i="44"/>
  <c r="M79" i="17"/>
  <c r="M80" i="17" s="1"/>
  <c r="M86" i="17" s="1"/>
  <c r="N37" i="17"/>
  <c r="N36" i="17"/>
  <c r="M75" i="17"/>
  <c r="N68" i="17"/>
  <c r="O24" i="44" l="1"/>
  <c r="O25" i="44"/>
  <c r="M85" i="17"/>
  <c r="M84" i="17" s="1"/>
  <c r="M88" i="17"/>
  <c r="M87" i="17"/>
  <c r="M90" i="17" l="1"/>
  <c r="N93" i="17"/>
  <c r="N94" i="17" s="1"/>
  <c r="N92" i="17" s="1"/>
  <c r="N97" i="17" s="1"/>
  <c r="N83" i="17" s="1"/>
  <c r="N79" i="17" s="1"/>
  <c r="M89" i="17"/>
  <c r="N35" i="17" l="1"/>
  <c r="N67" i="17" s="1"/>
  <c r="N66" i="17" s="1"/>
  <c r="N57" i="17" s="1"/>
  <c r="N56" i="17" s="1"/>
  <c r="N80" i="17"/>
  <c r="N86" i="17" s="1"/>
  <c r="N87" i="17"/>
  <c r="N88" i="17"/>
  <c r="O68" i="17" l="1"/>
  <c r="O23" i="44"/>
  <c r="O69" i="17"/>
  <c r="N75" i="17"/>
  <c r="N85" i="17"/>
  <c r="N84" i="17" s="1"/>
  <c r="N89" i="17" l="1"/>
  <c r="N90" i="17"/>
  <c r="O93" i="17"/>
  <c r="O94" i="17" s="1"/>
  <c r="O92" i="17" s="1"/>
  <c r="O97" i="17" s="1"/>
  <c r="O83" i="17" s="1"/>
  <c r="O35" i="17" l="1"/>
  <c r="O67" i="17" s="1"/>
  <c r="O66" i="17" s="1"/>
  <c r="O57" i="17" s="1"/>
  <c r="O56" i="17" s="1"/>
  <c r="O79" i="17"/>
  <c r="O80" i="17" s="1"/>
  <c r="P68" i="17" l="1"/>
  <c r="P23" i="44"/>
  <c r="P69" i="17"/>
  <c r="O75" i="17"/>
  <c r="O87" i="17"/>
  <c r="O86" i="17"/>
  <c r="O88" i="17"/>
  <c r="O85" i="17"/>
  <c r="O84" i="17" l="1"/>
  <c r="P93" i="17" s="1"/>
  <c r="P94" i="17" s="1"/>
  <c r="P92" i="17" s="1"/>
  <c r="P97" i="17" s="1"/>
  <c r="P83" i="17" s="1"/>
  <c r="O89" i="17" l="1"/>
  <c r="O90" i="17"/>
  <c r="P35" i="17"/>
  <c r="P67" i="17" s="1"/>
  <c r="P66" i="17" s="1"/>
  <c r="P57" i="17" s="1"/>
  <c r="P56" i="17" s="1"/>
  <c r="Q23" i="44" s="1"/>
  <c r="Q68" i="17" l="1"/>
  <c r="Q69" i="17"/>
  <c r="P75" i="17"/>
  <c r="P79" i="17"/>
  <c r="P80" i="17" s="1"/>
  <c r="P88" i="17" l="1"/>
  <c r="P87" i="17"/>
  <c r="P85" i="17"/>
  <c r="P86" i="17"/>
  <c r="P84" i="17" l="1"/>
  <c r="P90" i="17" l="1"/>
  <c r="Q93" i="17"/>
  <c r="Q94" i="17" s="1"/>
  <c r="Q92" i="17" s="1"/>
  <c r="Q97" i="17" s="1"/>
  <c r="Q83" i="17" s="1"/>
  <c r="P89" i="17"/>
  <c r="Q35" i="17" l="1"/>
  <c r="Q67" i="17" s="1"/>
  <c r="Q66" i="17" s="1"/>
  <c r="Q57" i="17" s="1"/>
  <c r="Q56" i="17" s="1"/>
  <c r="R23" i="44" s="1"/>
  <c r="R68" i="17" l="1"/>
  <c r="R69" i="17"/>
  <c r="Q75" i="17"/>
  <c r="Q79" i="17"/>
  <c r="Q80" i="17" s="1"/>
  <c r="Q85" i="17" l="1"/>
  <c r="Q87" i="17"/>
  <c r="Q88" i="17"/>
  <c r="Q86" i="17"/>
  <c r="Q84" i="17" l="1"/>
  <c r="R93" i="17" l="1"/>
  <c r="R94" i="17" s="1"/>
  <c r="R92" i="17" s="1"/>
  <c r="R97" i="17" s="1"/>
  <c r="R83" i="17" s="1"/>
  <c r="Q90" i="17"/>
  <c r="Q89" i="17"/>
  <c r="R35" i="17" l="1"/>
  <c r="R67" i="17" s="1"/>
  <c r="R66" i="17" s="1"/>
  <c r="R57" i="17" s="1"/>
  <c r="R56" i="17" s="1"/>
  <c r="S23" i="44" s="1"/>
  <c r="R75" i="17" l="1"/>
  <c r="S69" i="17"/>
  <c r="S68" i="17"/>
  <c r="R79" i="17"/>
  <c r="R80" i="17" s="1"/>
  <c r="R87" i="17" l="1"/>
  <c r="R88" i="17"/>
  <c r="R86" i="17"/>
  <c r="R85" i="17"/>
  <c r="R84" i="17" l="1"/>
  <c r="R90" i="17" s="1"/>
  <c r="R89" i="17" l="1"/>
  <c r="S93" i="17"/>
  <c r="S94" i="17" s="1"/>
  <c r="S92" i="17" s="1"/>
  <c r="S97" i="17" s="1"/>
  <c r="S83" i="17" s="1"/>
  <c r="S35" i="17" l="1"/>
  <c r="S67" i="17" s="1"/>
  <c r="S66" i="17" s="1"/>
  <c r="S57" i="17" s="1"/>
  <c r="S56" i="17" s="1"/>
  <c r="S79" i="17"/>
  <c r="S80" i="17" s="1"/>
  <c r="T68" i="17" l="1"/>
  <c r="T23" i="44"/>
  <c r="S75" i="17"/>
  <c r="T69" i="17"/>
  <c r="S87" i="17"/>
  <c r="S86" i="17"/>
  <c r="S88" i="17"/>
  <c r="S85" i="17"/>
  <c r="S84" i="17" l="1"/>
  <c r="S90" i="17" s="1"/>
  <c r="S89" i="17" l="1"/>
  <c r="T93" i="17"/>
  <c r="T94" i="17" s="1"/>
  <c r="T92" i="17" s="1"/>
  <c r="T97" i="17" s="1"/>
  <c r="T83" i="17" s="1"/>
  <c r="T79" i="17" l="1"/>
  <c r="T80" i="17" s="1"/>
  <c r="T35" i="17"/>
  <c r="T67" i="17" s="1"/>
  <c r="T66" i="17" s="1"/>
  <c r="T57" i="17" s="1"/>
  <c r="T56" i="17" s="1"/>
  <c r="U23" i="44" s="1"/>
  <c r="U69" i="17" l="1"/>
  <c r="U68" i="17"/>
  <c r="T75" i="17"/>
  <c r="T85" i="17"/>
  <c r="T88" i="17"/>
  <c r="T86" i="17"/>
  <c r="T87" i="17"/>
  <c r="T84" i="17" l="1"/>
  <c r="T90" i="17" l="1"/>
  <c r="U93" i="17"/>
  <c r="U94" i="17" s="1"/>
  <c r="U92" i="17" s="1"/>
  <c r="U97" i="17" s="1"/>
  <c r="U83" i="17" s="1"/>
  <c r="T89" i="17"/>
  <c r="U35" i="17" l="1"/>
  <c r="U67" i="17" s="1"/>
  <c r="U66" i="17" s="1"/>
  <c r="U57" i="17" s="1"/>
  <c r="U56" i="17" s="1"/>
  <c r="V23" i="44" s="1"/>
  <c r="U79" i="17" l="1"/>
  <c r="U80" i="17" s="1"/>
  <c r="V69" i="17"/>
  <c r="U75" i="17"/>
  <c r="V68" i="17"/>
  <c r="U87" i="17" l="1"/>
  <c r="U85" i="17"/>
  <c r="U86" i="17"/>
  <c r="U88" i="17"/>
  <c r="U84" i="17" l="1"/>
  <c r="U89" i="17" s="1"/>
  <c r="V93" i="17" l="1"/>
  <c r="V94" i="17" s="1"/>
  <c r="V92" i="17" s="1"/>
  <c r="V97" i="17" s="1"/>
  <c r="V83" i="17" s="1"/>
  <c r="U90" i="17"/>
  <c r="V35" i="17" l="1"/>
  <c r="V67" i="17" s="1"/>
  <c r="V66" i="17" s="1"/>
  <c r="V57" i="17" s="1"/>
  <c r="V56" i="17" s="1"/>
  <c r="V79" i="17"/>
  <c r="V80" i="17" s="1"/>
  <c r="V75" i="17" l="1"/>
  <c r="W23" i="44"/>
  <c r="W69" i="17"/>
  <c r="W68" i="17"/>
  <c r="V85" i="17"/>
  <c r="V88" i="17"/>
  <c r="V87" i="17"/>
  <c r="V86" i="17"/>
  <c r="V84" i="17" l="1"/>
  <c r="W93" i="17" s="1"/>
  <c r="W94" i="17" s="1"/>
  <c r="W92" i="17" s="1"/>
  <c r="W97" i="17" s="1"/>
  <c r="W83" i="17" s="1"/>
  <c r="W79" i="17" l="1"/>
  <c r="W35" i="17"/>
  <c r="W67" i="17" s="1"/>
  <c r="W66" i="17" s="1"/>
  <c r="W57" i="17" s="1"/>
  <c r="W56" i="17" s="1"/>
  <c r="X23" i="44" s="1"/>
  <c r="V90" i="17"/>
  <c r="V89" i="17"/>
  <c r="W75" i="17" l="1"/>
  <c r="G13" i="20" s="1"/>
  <c r="J13" i="20"/>
  <c r="W80" i="17"/>
  <c r="W85" i="17" s="1"/>
  <c r="W87" i="17"/>
  <c r="W88" i="17"/>
  <c r="W86" i="17" l="1"/>
  <c r="W84" i="17" s="1"/>
  <c r="W90" i="17" s="1"/>
  <c r="W89" i="17" l="1"/>
  <c r="H94" i="19"/>
  <c r="H95" i="19" s="1"/>
  <c r="H93" i="19" s="1"/>
  <c r="H98" i="19" s="1"/>
  <c r="H84" i="19" s="1"/>
  <c r="H36" i="19" l="1"/>
  <c r="H68" i="19" s="1"/>
  <c r="H67" i="19" s="1"/>
  <c r="H58" i="19" s="1"/>
  <c r="H57" i="19" s="1"/>
  <c r="I30" i="44" s="1"/>
  <c r="H80" i="19" l="1"/>
  <c r="H81" i="19" s="1"/>
  <c r="I70" i="19"/>
  <c r="I69" i="19"/>
  <c r="H87" i="19" l="1"/>
  <c r="H88" i="19"/>
  <c r="H89" i="19"/>
  <c r="H86" i="19"/>
  <c r="H85" i="19" l="1"/>
  <c r="I94" i="19" s="1"/>
  <c r="I95" i="19" s="1"/>
  <c r="I93" i="19" s="1"/>
  <c r="I98" i="19" s="1"/>
  <c r="I84" i="19" s="1"/>
  <c r="I36" i="19" l="1"/>
  <c r="I68" i="19" s="1"/>
  <c r="I67" i="19" s="1"/>
  <c r="I58" i="19" s="1"/>
  <c r="I57" i="19" s="1"/>
  <c r="H90" i="19"/>
  <c r="I80" i="19"/>
  <c r="H91" i="19"/>
  <c r="J69" i="19" l="1"/>
  <c r="J30" i="44"/>
  <c r="J70" i="19"/>
  <c r="I81" i="19"/>
  <c r="I86" i="19" s="1"/>
  <c r="I89" i="19"/>
  <c r="I88" i="19"/>
  <c r="I87" i="19" l="1"/>
  <c r="I85" i="19" s="1"/>
  <c r="I91" i="19" s="1"/>
  <c r="J94" i="19" l="1"/>
  <c r="J95" i="19" s="1"/>
  <c r="J93" i="19" s="1"/>
  <c r="J98" i="19" s="1"/>
  <c r="J84" i="19" s="1"/>
  <c r="I90" i="19"/>
  <c r="J36" i="19" l="1"/>
  <c r="J68" i="19" s="1"/>
  <c r="J67" i="19" s="1"/>
  <c r="J58" i="19" s="1"/>
  <c r="J57" i="19" s="1"/>
  <c r="J80" i="19"/>
  <c r="J81" i="19" s="1"/>
  <c r="K70" i="19" l="1"/>
  <c r="K30" i="44"/>
  <c r="K69" i="19"/>
  <c r="J87" i="19"/>
  <c r="J89" i="19"/>
  <c r="J86" i="19"/>
  <c r="J88" i="19"/>
  <c r="J85" i="19" l="1"/>
  <c r="K94" i="19" s="1"/>
  <c r="K95" i="19" s="1"/>
  <c r="K93" i="19" s="1"/>
  <c r="K98" i="19" s="1"/>
  <c r="K84" i="19" s="1"/>
  <c r="K36" i="19" l="1"/>
  <c r="K68" i="19" s="1"/>
  <c r="K67" i="19" s="1"/>
  <c r="K58" i="19" s="1"/>
  <c r="K57" i="19" s="1"/>
  <c r="J91" i="19"/>
  <c r="J90" i="19"/>
  <c r="K80" i="19"/>
  <c r="L70" i="19" l="1"/>
  <c r="L30" i="44"/>
  <c r="L69" i="19"/>
  <c r="K76" i="19"/>
  <c r="K81" i="19"/>
  <c r="K86" i="19" s="1"/>
  <c r="K88" i="19"/>
  <c r="K89" i="19"/>
  <c r="K87" i="19" l="1"/>
  <c r="K85" i="19" s="1"/>
  <c r="K91" i="19" s="1"/>
  <c r="K90" i="19" l="1"/>
  <c r="L94" i="19"/>
  <c r="L95" i="19" s="1"/>
  <c r="L93" i="19" s="1"/>
  <c r="L98" i="19" s="1"/>
  <c r="L84" i="19" s="1"/>
  <c r="L36" i="19" l="1"/>
  <c r="L68" i="19" s="1"/>
  <c r="L67" i="19" s="1"/>
  <c r="L58" i="19" s="1"/>
  <c r="L57" i="19" s="1"/>
  <c r="L80" i="19"/>
  <c r="L81" i="19" s="1"/>
  <c r="L87" i="19" s="1"/>
  <c r="M69" i="19" l="1"/>
  <c r="M30" i="44"/>
  <c r="M70" i="19"/>
  <c r="L76" i="19"/>
  <c r="L89" i="19"/>
  <c r="L86" i="19"/>
  <c r="L85" i="19" s="1"/>
  <c r="L88" i="19"/>
  <c r="M94" i="19" l="1"/>
  <c r="M95" i="19" s="1"/>
  <c r="M93" i="19" s="1"/>
  <c r="M98" i="19" s="1"/>
  <c r="M84" i="19" s="1"/>
  <c r="L90" i="19"/>
  <c r="L91" i="19"/>
  <c r="M36" i="19" l="1"/>
  <c r="M68" i="19" s="1"/>
  <c r="M67" i="19" s="1"/>
  <c r="M58" i="19" s="1"/>
  <c r="M57" i="19" s="1"/>
  <c r="M80" i="19"/>
  <c r="M81" i="19" s="1"/>
  <c r="M87" i="19" s="1"/>
  <c r="N70" i="19" l="1"/>
  <c r="N30" i="44"/>
  <c r="M76" i="19"/>
  <c r="N69" i="19"/>
  <c r="M88" i="19"/>
  <c r="M89" i="19"/>
  <c r="M86" i="19"/>
  <c r="M85" i="19" s="1"/>
  <c r="N94" i="19" l="1"/>
  <c r="N95" i="19" s="1"/>
  <c r="N93" i="19" s="1"/>
  <c r="N98" i="19" s="1"/>
  <c r="N84" i="19" s="1"/>
  <c r="M91" i="19"/>
  <c r="M90" i="19"/>
  <c r="N36" i="19" l="1"/>
  <c r="N68" i="19" s="1"/>
  <c r="N67" i="19" s="1"/>
  <c r="N58" i="19" s="1"/>
  <c r="N57" i="19" s="1"/>
  <c r="N80" i="19"/>
  <c r="N81" i="19" s="1"/>
  <c r="O70" i="19" l="1"/>
  <c r="O30" i="44"/>
  <c r="O69" i="19"/>
  <c r="N76" i="19"/>
  <c r="N89" i="19"/>
  <c r="N87" i="19"/>
  <c r="N88" i="19"/>
  <c r="N86" i="19"/>
  <c r="N85" i="19" l="1"/>
  <c r="O94" i="19" s="1"/>
  <c r="O95" i="19" s="1"/>
  <c r="O93" i="19" s="1"/>
  <c r="O98" i="19" s="1"/>
  <c r="O84" i="19" s="1"/>
  <c r="N90" i="19" l="1"/>
  <c r="N91" i="19"/>
  <c r="O36" i="19"/>
  <c r="O68" i="19" s="1"/>
  <c r="O67" i="19" s="1"/>
  <c r="O58" i="19" s="1"/>
  <c r="O57" i="19" s="1"/>
  <c r="P30" i="44" s="1"/>
  <c r="O80" i="19" l="1"/>
  <c r="O81" i="19" s="1"/>
  <c r="P69" i="19"/>
  <c r="O76" i="19"/>
  <c r="P70" i="19"/>
  <c r="O88" i="19" l="1"/>
  <c r="O87" i="19"/>
  <c r="O89" i="19"/>
  <c r="O86" i="19"/>
  <c r="O85" i="19" l="1"/>
  <c r="P94" i="19" s="1"/>
  <c r="P95" i="19" s="1"/>
  <c r="P93" i="19" s="1"/>
  <c r="P98" i="19" s="1"/>
  <c r="P84" i="19" s="1"/>
  <c r="O90" i="19" l="1"/>
  <c r="O91" i="19"/>
  <c r="P36" i="19"/>
  <c r="P68" i="19" s="1"/>
  <c r="P67" i="19" s="1"/>
  <c r="P58" i="19" s="1"/>
  <c r="P57" i="19" s="1"/>
  <c r="Q30" i="44" s="1"/>
  <c r="P80" i="19" l="1"/>
  <c r="P81" i="19" s="1"/>
  <c r="Q70" i="19"/>
  <c r="P76" i="19"/>
  <c r="Q69" i="19"/>
  <c r="P86" i="19" l="1"/>
  <c r="P88" i="19"/>
  <c r="P87" i="19"/>
  <c r="P89" i="19"/>
  <c r="P85" i="19" l="1"/>
  <c r="Q94" i="19" s="1"/>
  <c r="Q95" i="19" s="1"/>
  <c r="Q93" i="19" s="1"/>
  <c r="Q98" i="19" s="1"/>
  <c r="Q84" i="19" s="1"/>
  <c r="P91" i="19" l="1"/>
  <c r="P90" i="19"/>
  <c r="Q80" i="19"/>
  <c r="Q36" i="19"/>
  <c r="Q68" i="19" s="1"/>
  <c r="Q67" i="19" s="1"/>
  <c r="Q58" i="19" s="1"/>
  <c r="Q57" i="19" s="1"/>
  <c r="R70" i="19" l="1"/>
  <c r="R30" i="44"/>
  <c r="Q81" i="19"/>
  <c r="Q87" i="19" s="1"/>
  <c r="Q76" i="19"/>
  <c r="R69" i="19"/>
  <c r="Q89" i="19"/>
  <c r="Q88" i="19"/>
  <c r="Q86" i="19" l="1"/>
  <c r="Q85" i="19" s="1"/>
  <c r="Q91" i="19" s="1"/>
  <c r="Q90" i="19" l="1"/>
  <c r="R94" i="19"/>
  <c r="R95" i="19" s="1"/>
  <c r="R93" i="19" s="1"/>
  <c r="R98" i="19" s="1"/>
  <c r="R84" i="19" s="1"/>
  <c r="R36" i="19" l="1"/>
  <c r="R68" i="19" s="1"/>
  <c r="R67" i="19" s="1"/>
  <c r="R58" i="19" s="1"/>
  <c r="R57" i="19" s="1"/>
  <c r="R80" i="19"/>
  <c r="R81" i="19" s="1"/>
  <c r="S70" i="19" l="1"/>
  <c r="S30" i="44"/>
  <c r="S69" i="19"/>
  <c r="R76" i="19"/>
  <c r="R88" i="19"/>
  <c r="R87" i="19"/>
  <c r="R86" i="19"/>
  <c r="R89" i="19"/>
  <c r="R85" i="19" l="1"/>
  <c r="S94" i="19" l="1"/>
  <c r="S95" i="19" s="1"/>
  <c r="S93" i="19" s="1"/>
  <c r="S98" i="19" s="1"/>
  <c r="S84" i="19" s="1"/>
  <c r="R91" i="19"/>
  <c r="R90" i="19"/>
  <c r="S36" i="19" l="1"/>
  <c r="S68" i="19" s="1"/>
  <c r="S67" i="19" s="1"/>
  <c r="S58" i="19" s="1"/>
  <c r="S57" i="19" s="1"/>
  <c r="T30" i="44" s="1"/>
  <c r="S80" i="19"/>
  <c r="S81" i="19" s="1"/>
  <c r="S88" i="19" l="1"/>
  <c r="S87" i="19"/>
  <c r="S86" i="19"/>
  <c r="S89" i="19"/>
  <c r="T69" i="19"/>
  <c r="T70" i="19"/>
  <c r="S76" i="19"/>
  <c r="S85" i="19" l="1"/>
  <c r="T94" i="19" s="1"/>
  <c r="T95" i="19" s="1"/>
  <c r="T93" i="19" s="1"/>
  <c r="T98" i="19" s="1"/>
  <c r="T84" i="19" s="1"/>
  <c r="T36" i="19" l="1"/>
  <c r="T68" i="19" s="1"/>
  <c r="T67" i="19" s="1"/>
  <c r="T58" i="19" s="1"/>
  <c r="T57" i="19" s="1"/>
  <c r="S91" i="19"/>
  <c r="S90" i="19"/>
  <c r="T80" i="19"/>
  <c r="U70" i="19" l="1"/>
  <c r="U30" i="44"/>
  <c r="T76" i="19"/>
  <c r="U69" i="19"/>
  <c r="T81" i="19"/>
  <c r="T86" i="19" s="1"/>
  <c r="T88" i="19"/>
  <c r="T89" i="19"/>
  <c r="T87" i="19" l="1"/>
  <c r="T85" i="19" s="1"/>
  <c r="U94" i="19" s="1"/>
  <c r="U95" i="19" s="1"/>
  <c r="U93" i="19" s="1"/>
  <c r="U98" i="19" s="1"/>
  <c r="U84" i="19" s="1"/>
  <c r="T90" i="19" l="1"/>
  <c r="T91" i="19"/>
  <c r="U36" i="19"/>
  <c r="U68" i="19" s="1"/>
  <c r="U67" i="19" s="1"/>
  <c r="U58" i="19" s="1"/>
  <c r="U57" i="19" s="1"/>
  <c r="V30" i="44" s="1"/>
  <c r="U80" i="19" l="1"/>
  <c r="U81" i="19" s="1"/>
  <c r="V69" i="19"/>
  <c r="V70" i="19"/>
  <c r="U76" i="19"/>
  <c r="U88" i="19" l="1"/>
  <c r="U86" i="19"/>
  <c r="U89" i="19"/>
  <c r="U87" i="19"/>
  <c r="U85" i="19" l="1"/>
  <c r="V94" i="19" s="1"/>
  <c r="V95" i="19" s="1"/>
  <c r="V93" i="19" s="1"/>
  <c r="V98" i="19" l="1"/>
  <c r="V84" i="19" s="1"/>
  <c r="U90" i="19"/>
  <c r="U91" i="19"/>
  <c r="V36" i="19"/>
  <c r="V68" i="19" s="1"/>
  <c r="V67" i="19" s="1"/>
  <c r="V58" i="19" s="1"/>
  <c r="V57" i="19" s="1"/>
  <c r="W30" i="44" s="1"/>
  <c r="V80" i="19" l="1"/>
  <c r="V81" i="19" s="1"/>
  <c r="W70" i="19"/>
  <c r="W69" i="19"/>
  <c r="V76" i="19"/>
  <c r="V88" i="19" l="1"/>
  <c r="V89" i="19"/>
  <c r="V87" i="19"/>
  <c r="V86" i="19"/>
  <c r="V85" i="19" l="1"/>
  <c r="W94" i="19" s="1"/>
  <c r="W95" i="19" s="1"/>
  <c r="W93" i="19" s="1"/>
  <c r="W98" i="19" l="1"/>
  <c r="W84" i="19" s="1"/>
  <c r="V90" i="19"/>
  <c r="V91" i="19"/>
  <c r="W36" i="19"/>
  <c r="W68" i="19" s="1"/>
  <c r="W67" i="19" s="1"/>
  <c r="W58" i="19" s="1"/>
  <c r="W57" i="19" s="1"/>
  <c r="J15" i="20" l="1"/>
  <c r="X30" i="44"/>
  <c r="W76" i="19"/>
  <c r="G15" i="20" s="1"/>
  <c r="H3" i="20" s="1"/>
  <c r="W80" i="19"/>
  <c r="W81" i="19" s="1"/>
  <c r="W88" i="19" l="1"/>
  <c r="W86" i="19"/>
  <c r="W89" i="19"/>
  <c r="W87" i="19"/>
  <c r="W85" i="19" l="1"/>
  <c r="W91" i="19" s="1"/>
  <c r="W90" i="19" l="1"/>
  <c r="H96" i="9"/>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N68" i="9" s="1"/>
  <c r="M76" i="9"/>
  <c r="N42" i="44" s="1"/>
  <c r="N45" i="44"/>
  <c r="M92" i="9"/>
  <c r="M91" i="9"/>
  <c r="M90" i="9"/>
  <c r="M88" i="9" s="1"/>
  <c r="N69" i="9" l="1"/>
  <c r="N41" i="44"/>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<sst xmlns="http://schemas.openxmlformats.org/spreadsheetml/2006/main" count="815" uniqueCount="295">
  <si>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</si>
  <si>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</si>
  <si>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</si>
  <si>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</si>
  <si>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</si>
  <si>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</si>
  <si>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</si>
  <si>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</si>
  <si>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</si>
  <si>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</si>
  <si>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</si>
  <si>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</si>
  <si>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</si>
  <si>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</si>
  <si>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</si>
  <si>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</si>
  <si>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</si>
  <si>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</si>
  <si>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</si>
  <si>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</si>
  <si>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</si>
  <si>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</si>
  <si>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</si>
  <si>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</si>
  <si>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</si>
  <si>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</si>
  <si>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</si>
  <si>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</si>
  <si>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</si>
  <si>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</si>
  <si>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</si>
  <si>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</si>
  <si>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</si>
  <si>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</si>
  <si>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</si>
  <si>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</si>
  <si>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</si>
  <si>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</si>
  <si>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</si>
  <si>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</si>
  <si>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</si>
  <si>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</si>
  <si>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</si>
  <si>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</si>
  <si>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</si>
  <si>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</si>
  <si>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</si>
  <si>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</si>
  <si>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</si>
  <si>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</si>
  <si>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</si>
  <si>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</si>
  <si>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</si>
  <si>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</si>
  <si>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</si>
  <si>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</si>
  <si>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</si>
  <si>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</si>
  <si>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</si>
  <si>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</si>
  <si>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</si>
  <si>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</si>
  <si>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</si>
  <si>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</si>
  <si>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</si>
  <si>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</si>
  <si>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</si>
  <si>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</si>
  <si>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</si>
  <si>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</si>
  <si>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</si>
  <si>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</si>
  <si>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</si>
  <si>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</si>
  <si>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</si>
  <si>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</si>
  <si>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</si>
  <si>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</si>
  <si>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</si>
  <si>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</si>
  <si>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</si>
  <si>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</si>
  <si>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</si>
  <si>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</si>
  <si>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</si>
  <si>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</si>
  <si>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</si>
  <si>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</si>
  <si>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</si>
  <si>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</si>
  <si>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</si>
  <si>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</si>
  <si>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</si>
  <si>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</si>
  <si>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</si>
  <si>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</si>
  <si>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</si>
  <si>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</si>
  <si>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</si>
  <si>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</si>
  <si>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</si>
  <si>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</si>
  <si>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</si>
  <si>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</si>
  <si>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</si>
  <si>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</si>
  <si>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</si>
  <si>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</si>
  <si>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</si>
  <si>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</si>
  <si>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</si>
  <si>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</si>
  <si>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</si>
  <si>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</si>
  <si>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</si>
  <si>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</si>
  <si>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</si>
  <si>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</si>
  <si>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</si>
  <si>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</si>
  <si>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</si>
  <si>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</si>
  <si>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</si>
  <si>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</si>
  <si>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</si>
  <si>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</si>
  <si>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</si>
  <si>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</si>
  <si>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</si>
  <si>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</si>
  <si>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</si>
  <si>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</si>
  <si>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</si>
  <si>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</si>
  <si>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</si>
  <si>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</si>
  <si>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</si>
  <si>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</si>
  <si>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</si>
  <si>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</si>
  <si>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</si>
  <si>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</si>
  <si>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</si>
  <si>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</si>
  <si>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</si>
  <si>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</si>
  <si>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</si>
  <si>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</si>
  <si>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</si>
  <si>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</si>
  <si>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</si>
  <si>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</si>
  <si>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</si>
  <si>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</si>
  <si>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</si>
  <si>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</si>
  <si>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</si>
  <si>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</si>
  <si>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</si>
  <si>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</si>
  <si>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</si>
  <si>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</si>
  <si>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</si>
  <si>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</si>
  <si>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</si>
  <si>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</si>
  <si>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</si>
  <si>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</si>
  <si>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</si>
  <si>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</si>
  <si>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</si>
  <si>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</si>
  <si>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</si>
  <si>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</si>
  <si>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</si>
  <si>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</si>
  <si>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</si>
  <si>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</si>
  <si>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</si>
  <si>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</si>
  <si>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</si>
  <si>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</si>
  <si>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</si>
  <si>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</si>
  <si>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</si>
  <si>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</si>
  <si>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</si>
  <si>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</si>
  <si>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</si>
  <si>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</si>
  <si>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</si>
  <si>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</si>
  <si>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</si>
  <si>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</si>
  <si>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</si>
  <si>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</si>
  <si>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</si>
  <si>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</si>
  <si>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</si>
  <si>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</si>
  <si>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</si>
  <si>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</si>
  <si>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</si>
  <si>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</si>
  <si>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</si>
  <si>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</si>
  <si>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</si>
  <si>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</si>
  <si>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</si>
  <si>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</si>
  <si>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</si>
  <si>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</si>
  <si>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</si>
  <si>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</si>
  <si>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</si>
  <si>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</si>
  <si>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</si>
  <si>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</si>
  <si>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</si>
  <si>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</si>
  <si>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</si>
  <si>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</si>
  <si>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</si>
  <si>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</si>
  <si>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</si>
  <si>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</si>
  <si>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</si>
  <si>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</si>
  <si>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</si>
  <si>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</si>
  <si>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</si>
  <si>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</si>
  <si>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</si>
  <si>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</si>
  <si>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</si>
  <si>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</si>
  <si>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</si>
  <si>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</si>
  <si>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</si>
  <si>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</si>
  <si>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</si>
  <si>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</si>
  <si>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</si>
  <si>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</si>
  <si>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</si>
  <si>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</si>
  <si>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</si>
  <si>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</si>
  <si>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</si>
  <si>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</si>
  <si>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</si>
  <si>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</si>
  <si>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</si>
  <si>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 (SF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</si>
  <si>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Interest rates (SF 2024, %)</t>
  </si>
  <si>
    <t>Inflation (SF 2024, %)</t>
  </si>
  <si>
    <t>Net primary expenditure growth (SF 2024, %)</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</si>
  <si>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</si>
  <si>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</si>
  <si>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</si>
  <si>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</si>
  <si>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</si>
  <si>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</si>
  <si>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</si>
  <si>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</si>
  <si>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</si>
  <si>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</si>
  <si>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</si>
  <si>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</si>
  <si>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</si>
  <si>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</si>
  <si>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June 2024 report under Art. 126(3) of the Treaty recommends opening an EDP. If neither of these conditions are met, the deficit benchmark is not relevant and therefore not applied.</t>
    </r>
  </si>
  <si>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</si>
  <si>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</si>
  <si>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</si>
  <si>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</si>
  <si>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</si>
  <si>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</si>
  <si>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</si>
  <si>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</si>
  <si>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</si>
  <si>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</si>
  <si>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</si>
  <si>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</si>
  <si>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</si>
  <si>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</si>
  <si>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</si>
  <si>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</si>
  <si>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</si>
  <si>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</si>
  <si>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</si>
  <si>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</si>
  <si>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No extension (annual adjustment of 0)</t>
  </si>
  <si>
    <t>Extension (annual adjustment of 0)</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</si>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</sst>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70">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2" fontId="25" fillId="10" borderId="0" xfId="0" applyNumberFormat="1" applyFont="1" applyFill="1" applyAlignment="1">
      <alignment horizontal="center"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4">
    <dxf>
      <font>
        <color theme="0"/>
      </font>
      <fill>
        <patternFill>
          <bgColor theme="0"/>
        </patternFill>
      </fill>
    </dxf>
    <dxf>
      <font>
        <color theme="0"/>
      </font>
      <fill>
        <patternFill>
          <bgColor theme="0"/>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patternFill>
      </fill>
    </dxf>
    <dxf>
      <font>
        <color theme="0"/>
      </font>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34998626667073579"/>
        </patternFill>
      </fill>
    </dxf>
    <dxf>
      <fill>
        <patternFill>
          <bgColor theme="0" tint="-0.14996795556505021"/>
        </patternFill>
      </fill>
    </dxf>
    <dxf>
      <font>
        <color theme="0"/>
      </font>
      <fill>
        <patternFill>
          <bgColor theme="0"/>
        </patternFill>
      </fill>
      <border>
        <left/>
        <right/>
        <top/>
        <bottom/>
      </border>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dxf>
    <dxf>
      <font>
        <color theme="0"/>
      </font>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border>
        <left/>
        <right/>
        <top/>
        <bottom/>
        <vertical/>
        <horizontal/>
      </border>
    </dxf>
    <dxf>
      <border>
        <left style="thin">
          <color auto="1"/>
        </left>
        <right/>
        <top/>
        <bottom/>
        <vertical/>
        <horizontal/>
      </border>
    </dxf>
    <dxf>
      <font>
        <strike val="0"/>
        <color theme="0"/>
      </font>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55.344336413083951</c:v>
                </c:pt>
                <c:pt idx="1">
                  <c:v>50.929639670376446</c:v>
                </c:pt>
                <c:pt idx="2">
                  <c:v>36.643095727050763</c:v>
                </c:pt>
                <c:pt idx="3">
                  <c:v>28.679424681331682</c:v>
                </c:pt>
                <c:pt idx="4">
                  <c:v>21.86951095921917</c:v>
                </c:pt>
                <c:pt idx="5">
                  <c:v>16.520080180979662</c:v>
                </c:pt>
                <c:pt idx="6">
                  <c:v>11.157145371214632</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5.8408241271972656</c:v>
                </c:pt>
                <c:pt idx="3">
                  <c:v>7.8284759521484375</c:v>
                </c:pt>
                <c:pt idx="4">
                  <c:v>10.011072158813477</c:v>
                </c:pt>
                <c:pt idx="5">
                  <c:v>10.923233032226563</c:v>
                </c:pt>
                <c:pt idx="6">
                  <c:v>12.411182403564453</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4.0127677917480469</c:v>
                </c:pt>
                <c:pt idx="3">
                  <c:v>5.9514732360839844</c:v>
                </c:pt>
                <c:pt idx="4">
                  <c:v>6.8947296142578125</c:v>
                </c:pt>
                <c:pt idx="5">
                  <c:v>7.9308128356933594</c:v>
                </c:pt>
                <c:pt idx="6">
                  <c:v>8.6941871643066406</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3.9778518676757813</c:v>
                </c:pt>
                <c:pt idx="3">
                  <c:v>5.6573677062988281</c:v>
                </c:pt>
                <c:pt idx="4">
                  <c:v>6.733612060546875</c:v>
                </c:pt>
                <c:pt idx="5">
                  <c:v>7.7404136657714844</c:v>
                </c:pt>
                <c:pt idx="6">
                  <c:v>8.8483848571777344</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5.8889389038085938</c:v>
                </c:pt>
                <c:pt idx="3">
                  <c:v>8.0503578186035156</c:v>
                </c:pt>
                <c:pt idx="4">
                  <c:v>10.106468200683594</c:v>
                </c:pt>
                <c:pt idx="5">
                  <c:v>11.631378173828125</c:v>
                </c:pt>
                <c:pt idx="6">
                  <c:v>12.713222503662109</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55.344336413083951</c:v>
                </c:pt>
                <c:pt idx="1">
                  <c:v>50.929639670376446</c:v>
                </c:pt>
                <c:pt idx="2">
                  <c:v>50.474539513671857</c:v>
                </c:pt>
                <c:pt idx="3">
                  <c:v>48.116741575862932</c:v>
                </c:pt>
                <c:pt idx="4">
                  <c:v>45.508924792837334</c:v>
                </c:pt>
                <c:pt idx="5">
                  <c:v>43.114539714671068</c:v>
                </c:pt>
                <c:pt idx="6">
                  <c:v>41.11089979626346</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55.344336413083951</c:v>
                </c:pt>
                <c:pt idx="1">
                  <c:v>50.929639670376446</c:v>
                </c:pt>
                <c:pt idx="2">
                  <c:v>42.483919854248029</c:v>
                </c:pt>
                <c:pt idx="3">
                  <c:v>36.507900633480119</c:v>
                </c:pt>
                <c:pt idx="4">
                  <c:v>31.880583118032646</c:v>
                </c:pt>
                <c:pt idx="5">
                  <c:v>27.443313213206224</c:v>
                </c:pt>
                <c:pt idx="6">
                  <c:v>23.568327774779085</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55.344336413083951</c:v>
                </c:pt>
                <c:pt idx="1">
                  <c:v>50.929639670376446</c:v>
                </c:pt>
                <c:pt idx="2">
                  <c:v>56.363478417480451</c:v>
                </c:pt>
                <c:pt idx="3">
                  <c:v>56.167099394466447</c:v>
                </c:pt>
                <c:pt idx="4">
                  <c:v>55.615392993520928</c:v>
                </c:pt>
                <c:pt idx="5">
                  <c:v>54.745917888499193</c:v>
                </c:pt>
                <c:pt idx="6">
                  <c:v>53.82412229992557</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IE"/>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55.344336413083951</c:v>
                </c:pt>
                <c:pt idx="1">
                  <c:v>50.929639670376446</c:v>
                </c:pt>
                <c:pt idx="2">
                  <c:v>46.496687645996076</c:v>
                </c:pt>
                <c:pt idx="3">
                  <c:v>42.459373869564104</c:v>
                </c:pt>
                <c:pt idx="4">
                  <c:v>38.775312732290459</c:v>
                </c:pt>
                <c:pt idx="5">
                  <c:v>35.374126048899583</c:v>
                </c:pt>
                <c:pt idx="6">
                  <c:v>32.262514939085726</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55.344336413083951</c:v>
                </c:pt>
                <c:pt idx="1">
                  <c:v>50.929639670376446</c:v>
                </c:pt>
                <c:pt idx="2">
                  <c:v>36.643095727050763</c:v>
                </c:pt>
                <c:pt idx="3">
                  <c:v>28.679424681331682</c:v>
                </c:pt>
                <c:pt idx="4">
                  <c:v>21.86951095921917</c:v>
                </c:pt>
                <c:pt idx="5">
                  <c:v>16.520080180979662</c:v>
                </c:pt>
                <c:pt idx="6">
                  <c:v>11.157145371214632</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tabSelected="1" topLeftCell="A52" zoomScaleNormal="100" workbookViewId="0">
      <selection activeCell="D58" sqref="D58:K58"/>
    </sheetView>
  </sheetViews>
  <sheetFormatPr defaultColWidth="9.28515625" defaultRowHeight="15" x14ac:dyDescent="0.25"/>
  <cols>
    <col min="1" max="3" width="9.28515625" style="173"/>
    <col min="4" max="4" width="7.28515625" style="173" customWidth="1"/>
    <col min="5" max="5" width="6.140625" style="173" customWidth="1"/>
    <col min="6" max="6" width="3.140625" style="173" customWidth="1"/>
    <col min="7" max="13" width="9.28515625" style="173"/>
    <col min="14" max="14" width="18.140625" style="173" customWidth="1"/>
    <col min="15" max="16384" width="9.28515625" style="173"/>
  </cols>
  <sheetData>
    <row r="2" spans="2:12" x14ac:dyDescent="0.25">
      <c r="B2" s="169"/>
      <c r="C2" s="170"/>
      <c r="D2" s="170"/>
      <c r="E2" s="170"/>
      <c r="F2" s="170"/>
      <c r="G2" s="171"/>
      <c r="H2" s="170"/>
      <c r="I2" s="170"/>
      <c r="J2" s="170"/>
      <c r="K2" s="170"/>
      <c r="L2" s="172"/>
    </row>
    <row r="3" spans="2:12" x14ac:dyDescent="0.25">
      <c r="B3" s="174"/>
      <c r="C3" s="175"/>
      <c r="D3" s="175"/>
      <c r="E3" s="175"/>
      <c r="F3" s="175"/>
      <c r="G3" s="176"/>
      <c r="H3" s="175"/>
      <c r="I3" s="175"/>
      <c r="J3" s="175"/>
      <c r="K3" s="175"/>
      <c r="L3" s="177"/>
    </row>
    <row r="4" spans="2:12" x14ac:dyDescent="0.25">
      <c r="B4" s="174"/>
      <c r="C4" s="175"/>
      <c r="D4" s="175"/>
      <c r="E4" s="175"/>
      <c r="F4" s="175"/>
      <c r="G4" s="178" t="s">
        <v>0</v>
      </c>
      <c r="H4" s="175"/>
      <c r="I4" s="175"/>
      <c r="J4" s="175"/>
      <c r="K4" s="175"/>
      <c r="L4" s="177"/>
    </row>
    <row r="5" spans="2:12" x14ac:dyDescent="0.25">
      <c r="B5" s="174"/>
      <c r="C5" s="175"/>
      <c r="D5" s="175"/>
      <c r="E5" s="175"/>
      <c r="F5" s="175"/>
      <c r="G5" s="176"/>
      <c r="H5" s="175"/>
      <c r="I5" s="175"/>
      <c r="J5" s="175"/>
      <c r="K5" s="175"/>
      <c r="L5" s="177"/>
    </row>
    <row r="6" spans="2:12" x14ac:dyDescent="0.25">
      <c r="B6" s="174"/>
      <c r="C6" s="175"/>
      <c r="D6" s="175"/>
      <c r="E6" s="175"/>
      <c r="F6" s="175"/>
      <c r="G6" s="176" t="s">
        <v>1</v>
      </c>
      <c r="H6" s="175"/>
      <c r="I6" s="175"/>
      <c r="J6" s="175"/>
      <c r="K6" s="175"/>
      <c r="L6" s="177"/>
    </row>
    <row r="7" spans="2:12" x14ac:dyDescent="0.25">
      <c r="B7" s="174"/>
      <c r="C7" s="175"/>
      <c r="D7" s="175"/>
      <c r="E7" s="175"/>
      <c r="F7" s="175"/>
      <c r="G7" s="176" t="s">
        <v>2</v>
      </c>
      <c r="H7" s="175"/>
      <c r="I7" s="175"/>
      <c r="J7" s="175"/>
      <c r="K7" s="175"/>
      <c r="L7" s="177"/>
    </row>
    <row r="8" spans="2:12" x14ac:dyDescent="0.25">
      <c r="B8" s="174"/>
      <c r="C8" s="175"/>
      <c r="D8" s="175"/>
      <c r="E8" s="175"/>
      <c r="F8" s="175"/>
      <c r="G8" s="179" t="s">
        <v>3</v>
      </c>
      <c r="H8" s="175"/>
      <c r="I8" s="175"/>
      <c r="J8" s="175"/>
      <c r="K8" s="175"/>
      <c r="L8" s="177"/>
    </row>
    <row r="9" spans="2:12" x14ac:dyDescent="0.25">
      <c r="B9" s="174"/>
      <c r="C9" s="175"/>
      <c r="D9" s="175"/>
      <c r="E9" s="175"/>
      <c r="F9" s="175"/>
      <c r="G9" s="176"/>
      <c r="H9" s="175"/>
      <c r="I9" s="175"/>
      <c r="J9" s="175"/>
      <c r="K9" s="175"/>
      <c r="L9" s="177"/>
    </row>
    <row r="10" spans="2:12" x14ac:dyDescent="0.25">
      <c r="B10" s="174"/>
      <c r="C10" s="175"/>
      <c r="D10" s="175"/>
      <c r="E10" s="175"/>
      <c r="F10" s="175"/>
      <c r="G10" s="176"/>
      <c r="H10" s="175"/>
      <c r="I10" s="175"/>
      <c r="J10" s="175"/>
      <c r="K10" s="175"/>
      <c r="L10" s="177"/>
    </row>
    <row r="11" spans="2:12" x14ac:dyDescent="0.25">
      <c r="B11" s="180"/>
      <c r="C11" s="181"/>
      <c r="D11" s="181"/>
      <c r="E11" s="181"/>
      <c r="F11" s="181"/>
      <c r="G11" s="181"/>
      <c r="H11" s="181"/>
      <c r="I11" s="181"/>
      <c r="J11" s="181"/>
      <c r="K11" s="181"/>
      <c r="L11" s="182"/>
    </row>
    <row r="15" spans="2:12" x14ac:dyDescent="0.25">
      <c r="B15" s="169"/>
      <c r="C15" s="170"/>
      <c r="D15" s="170"/>
      <c r="E15" s="170"/>
      <c r="F15" s="170"/>
      <c r="G15" s="170"/>
      <c r="H15" s="170"/>
      <c r="I15" s="170"/>
      <c r="J15" s="170"/>
      <c r="K15" s="170"/>
      <c r="L15" s="172"/>
    </row>
    <row r="16" spans="2:12" x14ac:dyDescent="0.25">
      <c r="B16" s="174"/>
      <c r="C16" s="178" t="s">
        <v>4</v>
      </c>
      <c r="D16" s="176"/>
      <c r="E16" s="176"/>
      <c r="F16" s="176"/>
      <c r="G16" s="176"/>
      <c r="H16" s="176"/>
      <c r="I16" s="176"/>
      <c r="J16" s="176"/>
      <c r="K16" s="176"/>
      <c r="L16" s="177"/>
    </row>
    <row r="17" spans="2:14" x14ac:dyDescent="0.25">
      <c r="B17" s="174"/>
      <c r="C17" s="176"/>
      <c r="D17" s="176"/>
      <c r="E17" s="176"/>
      <c r="F17" s="176"/>
      <c r="G17" s="178"/>
      <c r="H17" s="176"/>
      <c r="I17" s="176"/>
      <c r="J17" s="176"/>
      <c r="K17" s="176"/>
      <c r="L17" s="177"/>
    </row>
    <row r="18" spans="2:14" ht="15" customHeight="1" x14ac:dyDescent="0.25">
      <c r="B18" s="174"/>
      <c r="C18" s="394" t="s">
        <v>253</v>
      </c>
      <c r="D18" s="394"/>
      <c r="E18" s="394"/>
      <c r="F18" s="394"/>
      <c r="G18" s="394"/>
      <c r="H18" s="394"/>
      <c r="I18" s="394"/>
      <c r="J18" s="394"/>
      <c r="K18" s="394"/>
      <c r="L18" s="177"/>
      <c r="N18" s="292"/>
    </row>
    <row r="19" spans="2:14" x14ac:dyDescent="0.25">
      <c r="B19" s="174"/>
      <c r="C19" s="394"/>
      <c r="D19" s="394"/>
      <c r="E19" s="394"/>
      <c r="F19" s="394"/>
      <c r="G19" s="394"/>
      <c r="H19" s="394"/>
      <c r="I19" s="394"/>
      <c r="J19" s="394"/>
      <c r="K19" s="394"/>
      <c r="L19" s="177"/>
    </row>
    <row r="20" spans="2:14" x14ac:dyDescent="0.25">
      <c r="B20" s="174"/>
      <c r="C20" s="394"/>
      <c r="D20" s="394"/>
      <c r="E20" s="394"/>
      <c r="F20" s="394"/>
      <c r="G20" s="394"/>
      <c r="H20" s="394"/>
      <c r="I20" s="394"/>
      <c r="J20" s="394"/>
      <c r="K20" s="394"/>
      <c r="L20" s="177"/>
    </row>
    <row r="21" spans="2:14" ht="9" customHeight="1" x14ac:dyDescent="0.25">
      <c r="B21" s="174"/>
      <c r="C21" s="176"/>
      <c r="D21" s="176"/>
      <c r="E21" s="176"/>
      <c r="F21" s="176"/>
      <c r="G21" s="176"/>
      <c r="H21" s="176"/>
      <c r="I21" s="176"/>
      <c r="J21" s="176"/>
      <c r="K21" s="176"/>
      <c r="L21" s="177"/>
    </row>
    <row r="22" spans="2:14" ht="15" customHeight="1" x14ac:dyDescent="0.25">
      <c r="B22" s="174"/>
      <c r="C22" s="394" t="s">
        <v>276</v>
      </c>
      <c r="D22" s="394"/>
      <c r="E22" s="394"/>
      <c r="F22" s="394"/>
      <c r="G22" s="394"/>
      <c r="H22" s="394"/>
      <c r="I22" s="394"/>
      <c r="J22" s="394"/>
      <c r="K22" s="394"/>
      <c r="L22" s="177"/>
    </row>
    <row r="23" spans="2:14" x14ac:dyDescent="0.25">
      <c r="B23" s="174"/>
      <c r="C23" s="394"/>
      <c r="D23" s="394"/>
      <c r="E23" s="394"/>
      <c r="F23" s="394"/>
      <c r="G23" s="394"/>
      <c r="H23" s="394"/>
      <c r="I23" s="394"/>
      <c r="J23" s="394"/>
      <c r="K23" s="394"/>
      <c r="L23" s="177"/>
    </row>
    <row r="24" spans="2:14" x14ac:dyDescent="0.25">
      <c r="B24" s="174"/>
      <c r="C24" s="394"/>
      <c r="D24" s="394"/>
      <c r="E24" s="394"/>
      <c r="F24" s="394"/>
      <c r="G24" s="394"/>
      <c r="H24" s="394"/>
      <c r="I24" s="394"/>
      <c r="J24" s="394"/>
      <c r="K24" s="394"/>
      <c r="L24" s="177"/>
    </row>
    <row r="25" spans="2:14" ht="30" customHeight="1" x14ac:dyDescent="0.25">
      <c r="B25" s="174"/>
      <c r="C25" s="394"/>
      <c r="D25" s="394"/>
      <c r="E25" s="394"/>
      <c r="F25" s="394"/>
      <c r="G25" s="394"/>
      <c r="H25" s="394"/>
      <c r="I25" s="394"/>
      <c r="J25" s="394"/>
      <c r="K25" s="394"/>
      <c r="L25" s="177"/>
      <c r="N25" s="269"/>
    </row>
    <row r="26" spans="2:14" x14ac:dyDescent="0.25">
      <c r="B26" s="174"/>
      <c r="C26" s="218"/>
      <c r="D26" s="218"/>
      <c r="E26" s="218"/>
      <c r="F26" s="218"/>
      <c r="G26" s="218"/>
      <c r="H26" s="218"/>
      <c r="I26" s="218"/>
      <c r="J26" s="218"/>
      <c r="K26" s="218"/>
      <c r="L26" s="177"/>
    </row>
    <row r="27" spans="2:14" x14ac:dyDescent="0.25">
      <c r="B27" s="174"/>
      <c r="C27" s="401" t="s">
        <v>5</v>
      </c>
      <c r="D27" s="401"/>
      <c r="E27" s="401"/>
      <c r="F27" s="401"/>
      <c r="G27" s="401"/>
      <c r="H27" s="401"/>
      <c r="I27" s="401"/>
      <c r="J27" s="401"/>
      <c r="K27" s="401"/>
      <c r="L27" s="177"/>
    </row>
    <row r="28" spans="2:14" x14ac:dyDescent="0.25">
      <c r="B28" s="174"/>
      <c r="C28" s="297"/>
      <c r="D28" s="297"/>
      <c r="E28" s="297"/>
      <c r="F28" s="297"/>
      <c r="G28" s="297"/>
      <c r="H28" s="297"/>
      <c r="I28" s="297"/>
      <c r="J28" s="297"/>
      <c r="K28" s="297"/>
      <c r="L28" s="177"/>
    </row>
    <row r="29" spans="2:14" ht="230.1" customHeight="1" x14ac:dyDescent="0.25">
      <c r="B29" s="174"/>
      <c r="C29" s="394" t="s">
        <v>288</v>
      </c>
      <c r="D29" s="394"/>
      <c r="E29" s="394"/>
      <c r="F29" s="394"/>
      <c r="G29" s="394"/>
      <c r="H29" s="394"/>
      <c r="I29" s="394"/>
      <c r="J29" s="394"/>
      <c r="K29" s="394"/>
      <c r="L29" s="177"/>
      <c r="N29" s="293"/>
    </row>
    <row r="30" spans="2:14" x14ac:dyDescent="0.25">
      <c r="B30" s="174"/>
      <c r="C30" s="297"/>
      <c r="D30" s="297"/>
      <c r="E30" s="297"/>
      <c r="F30" s="297"/>
      <c r="G30" s="297"/>
      <c r="H30" s="297"/>
      <c r="I30" s="297"/>
      <c r="J30" s="297"/>
      <c r="K30" s="297"/>
      <c r="L30" s="177"/>
      <c r="N30" s="195"/>
    </row>
    <row r="31" spans="2:14" x14ac:dyDescent="0.25">
      <c r="B31" s="174"/>
      <c r="C31" s="402" t="s">
        <v>6</v>
      </c>
      <c r="D31" s="402"/>
      <c r="E31" s="402"/>
      <c r="F31" s="402"/>
      <c r="G31" s="402"/>
      <c r="H31" s="402"/>
      <c r="I31" s="402"/>
      <c r="J31" s="402"/>
      <c r="K31" s="402"/>
      <c r="L31" s="177"/>
    </row>
    <row r="32" spans="2:14" x14ac:dyDescent="0.25">
      <c r="B32" s="174"/>
      <c r="C32" s="218"/>
      <c r="D32" s="183"/>
      <c r="E32" s="183"/>
      <c r="F32" s="183"/>
      <c r="G32" s="183"/>
      <c r="H32" s="183"/>
      <c r="I32" s="183"/>
      <c r="J32" s="183"/>
      <c r="K32" s="183"/>
      <c r="L32" s="177"/>
    </row>
    <row r="33" spans="2:14" ht="36" customHeight="1" thickBot="1" x14ac:dyDescent="0.3">
      <c r="B33" s="174"/>
      <c r="C33" s="184"/>
      <c r="D33" s="394" t="s">
        <v>267</v>
      </c>
      <c r="E33" s="394"/>
      <c r="F33" s="394"/>
      <c r="G33" s="394"/>
      <c r="H33" s="394"/>
      <c r="I33" s="394"/>
      <c r="J33" s="394"/>
      <c r="K33" s="394"/>
      <c r="L33" s="177"/>
      <c r="M33" s="268"/>
      <c r="N33" s="295"/>
    </row>
    <row r="34" spans="2:14" s="383" customFormat="1" ht="50.1" customHeight="1" thickTop="1" thickBot="1" x14ac:dyDescent="0.25">
      <c r="B34" s="378"/>
      <c r="C34" s="379"/>
      <c r="D34" s="194"/>
      <c r="E34" s="380"/>
      <c r="F34" s="395" t="s">
        <v>283</v>
      </c>
      <c r="G34" s="391"/>
      <c r="H34" s="391"/>
      <c r="I34" s="391"/>
      <c r="J34" s="391"/>
      <c r="K34" s="391"/>
      <c r="L34" s="381"/>
      <c r="M34" s="382"/>
      <c r="N34" s="295"/>
    </row>
    <row r="35" spans="2:14" s="383" customFormat="1" ht="33" customHeight="1" thickTop="1" x14ac:dyDescent="0.2">
      <c r="B35" s="378"/>
      <c r="C35" s="379"/>
      <c r="D35" s="194"/>
      <c r="E35" s="384"/>
      <c r="F35" s="390" t="s">
        <v>284</v>
      </c>
      <c r="G35" s="390"/>
      <c r="H35" s="390"/>
      <c r="I35" s="390"/>
      <c r="J35" s="390"/>
      <c r="K35" s="390"/>
      <c r="L35" s="381"/>
      <c r="M35" s="382"/>
      <c r="N35" s="295"/>
    </row>
    <row r="36" spans="2:14" s="383" customFormat="1" ht="33" customHeight="1" x14ac:dyDescent="0.2">
      <c r="B36" s="378"/>
      <c r="C36" s="379"/>
      <c r="D36" s="194"/>
      <c r="E36" s="385"/>
      <c r="F36" s="390"/>
      <c r="G36" s="390"/>
      <c r="H36" s="390"/>
      <c r="I36" s="390"/>
      <c r="J36" s="390"/>
      <c r="K36" s="390"/>
      <c r="L36" s="381"/>
      <c r="M36" s="382"/>
      <c r="N36" s="295"/>
    </row>
    <row r="37" spans="2:14" s="383" customFormat="1" ht="66" customHeight="1" x14ac:dyDescent="0.2">
      <c r="B37" s="378"/>
      <c r="C37" s="379"/>
      <c r="D37" s="194"/>
      <c r="E37" s="386"/>
      <c r="F37" s="390" t="s">
        <v>285</v>
      </c>
      <c r="G37" s="391"/>
      <c r="H37" s="391"/>
      <c r="I37" s="391"/>
      <c r="J37" s="391"/>
      <c r="K37" s="391"/>
      <c r="L37" s="381"/>
      <c r="M37" s="382"/>
      <c r="N37" s="295"/>
    </row>
    <row r="38" spans="2:14" ht="9" customHeight="1" x14ac:dyDescent="0.25">
      <c r="B38" s="174"/>
      <c r="C38" s="184"/>
      <c r="D38" s="392"/>
      <c r="E38" s="392"/>
      <c r="F38" s="392"/>
      <c r="G38" s="392"/>
      <c r="H38" s="392"/>
      <c r="I38" s="392"/>
      <c r="J38" s="392"/>
      <c r="K38" s="392"/>
      <c r="L38" s="393"/>
      <c r="M38" s="268"/>
      <c r="N38" s="295"/>
    </row>
    <row r="39" spans="2:14" ht="102.75" customHeight="1" x14ac:dyDescent="0.25">
      <c r="B39" s="174"/>
      <c r="C39" s="184"/>
      <c r="D39" s="394" t="s">
        <v>268</v>
      </c>
      <c r="E39" s="394"/>
      <c r="F39" s="394"/>
      <c r="G39" s="394"/>
      <c r="H39" s="394"/>
      <c r="I39" s="394"/>
      <c r="J39" s="394"/>
      <c r="K39" s="394"/>
      <c r="L39" s="177"/>
      <c r="M39" s="268"/>
      <c r="N39" s="295"/>
    </row>
    <row r="40" spans="2:14" ht="52.5" customHeight="1" x14ac:dyDescent="0.25">
      <c r="B40" s="174"/>
      <c r="C40" s="184"/>
      <c r="D40" s="394" t="s">
        <v>280</v>
      </c>
      <c r="E40" s="394"/>
      <c r="F40" s="394"/>
      <c r="G40" s="394"/>
      <c r="H40" s="394"/>
      <c r="I40" s="394"/>
      <c r="J40" s="394"/>
      <c r="K40" s="394"/>
      <c r="L40" s="177"/>
      <c r="M40" s="268"/>
      <c r="N40" s="270"/>
    </row>
    <row r="41" spans="2:14" ht="41.25" customHeight="1" x14ac:dyDescent="0.25">
      <c r="B41" s="174"/>
      <c r="C41" s="184"/>
      <c r="D41" s="394" t="s">
        <v>278</v>
      </c>
      <c r="E41" s="394"/>
      <c r="F41" s="394"/>
      <c r="G41" s="394"/>
      <c r="H41" s="394"/>
      <c r="I41" s="394"/>
      <c r="J41" s="394"/>
      <c r="K41" s="394"/>
      <c r="L41" s="177"/>
      <c r="M41" s="268"/>
      <c r="N41" s="270"/>
    </row>
    <row r="42" spans="2:14" ht="96.75" customHeight="1" x14ac:dyDescent="0.25">
      <c r="B42" s="174"/>
      <c r="C42" s="184"/>
      <c r="D42" s="394" t="s">
        <v>279</v>
      </c>
      <c r="E42" s="394"/>
      <c r="F42" s="394"/>
      <c r="G42" s="394"/>
      <c r="H42" s="394"/>
      <c r="I42" s="394"/>
      <c r="J42" s="394"/>
      <c r="K42" s="394"/>
      <c r="L42" s="177"/>
      <c r="M42" s="268"/>
      <c r="N42" s="295"/>
    </row>
    <row r="43" spans="2:14" ht="144" customHeight="1" x14ac:dyDescent="0.25">
      <c r="B43" s="174"/>
      <c r="C43" s="184"/>
      <c r="D43" s="394" t="s">
        <v>266</v>
      </c>
      <c r="E43" s="394"/>
      <c r="F43" s="394"/>
      <c r="G43" s="394"/>
      <c r="H43" s="394"/>
      <c r="I43" s="394"/>
      <c r="J43" s="394"/>
      <c r="K43" s="394"/>
      <c r="L43" s="177"/>
      <c r="M43" s="268"/>
      <c r="N43" s="295"/>
    </row>
    <row r="44" spans="2:14" ht="66" customHeight="1" x14ac:dyDescent="0.25">
      <c r="B44" s="174"/>
      <c r="C44" s="184"/>
      <c r="D44" s="394" t="s">
        <v>265</v>
      </c>
      <c r="E44" s="394"/>
      <c r="F44" s="394"/>
      <c r="G44" s="394"/>
      <c r="H44" s="394"/>
      <c r="I44" s="394"/>
      <c r="J44" s="394"/>
      <c r="K44" s="394"/>
      <c r="L44" s="177"/>
      <c r="M44" s="268"/>
      <c r="N44" s="270"/>
    </row>
    <row r="45" spans="2:14" ht="68.25" customHeight="1" x14ac:dyDescent="0.25">
      <c r="B45" s="174"/>
      <c r="C45" s="184"/>
      <c r="D45" s="394" t="s">
        <v>277</v>
      </c>
      <c r="E45" s="394"/>
      <c r="F45" s="394"/>
      <c r="G45" s="394"/>
      <c r="H45" s="394"/>
      <c r="I45" s="394"/>
      <c r="J45" s="394"/>
      <c r="K45" s="394"/>
      <c r="L45" s="177"/>
      <c r="M45" s="268"/>
      <c r="N45" s="270"/>
    </row>
    <row r="46" spans="2:14" x14ac:dyDescent="0.25">
      <c r="B46" s="174"/>
      <c r="C46" s="218"/>
      <c r="D46" s="183"/>
      <c r="E46" s="183"/>
      <c r="F46" s="183"/>
      <c r="G46" s="183"/>
      <c r="H46" s="183"/>
      <c r="I46" s="183"/>
      <c r="J46" s="183"/>
      <c r="K46" s="183"/>
      <c r="L46" s="177"/>
    </row>
    <row r="47" spans="2:14" ht="61.9" customHeight="1" x14ac:dyDescent="0.25">
      <c r="B47" s="174"/>
      <c r="C47" s="185"/>
      <c r="D47" s="394" t="s">
        <v>182</v>
      </c>
      <c r="E47" s="394"/>
      <c r="F47" s="394"/>
      <c r="G47" s="394"/>
      <c r="H47" s="394"/>
      <c r="I47" s="394"/>
      <c r="J47" s="394"/>
      <c r="K47" s="394"/>
      <c r="L47" s="177"/>
      <c r="N47" s="295"/>
    </row>
    <row r="48" spans="2:14" ht="32.450000000000003" customHeight="1" x14ac:dyDescent="0.25">
      <c r="B48" s="174"/>
      <c r="C48" s="185"/>
      <c r="D48" s="394" t="s">
        <v>7</v>
      </c>
      <c r="E48" s="394"/>
      <c r="F48" s="394"/>
      <c r="G48" s="394"/>
      <c r="H48" s="394"/>
      <c r="I48" s="394"/>
      <c r="J48" s="394"/>
      <c r="K48" s="394"/>
      <c r="L48" s="177"/>
    </row>
    <row r="49" spans="2:14" ht="33.6" customHeight="1" x14ac:dyDescent="0.25">
      <c r="B49" s="174"/>
      <c r="C49" s="185"/>
      <c r="D49" s="186"/>
      <c r="E49" s="187"/>
      <c r="F49" s="394" t="s">
        <v>269</v>
      </c>
      <c r="G49" s="394"/>
      <c r="H49" s="394"/>
      <c r="I49" s="394"/>
      <c r="J49" s="394"/>
      <c r="K49" s="394"/>
      <c r="L49" s="177"/>
    </row>
    <row r="50" spans="2:14" ht="98.25" customHeight="1" x14ac:dyDescent="0.25">
      <c r="B50" s="174"/>
      <c r="C50" s="185"/>
      <c r="D50" s="186"/>
      <c r="E50" s="368"/>
      <c r="F50" s="391" t="s">
        <v>271</v>
      </c>
      <c r="G50" s="391"/>
      <c r="H50" s="391"/>
      <c r="I50" s="391"/>
      <c r="J50" s="391"/>
      <c r="K50" s="391"/>
      <c r="L50" s="177"/>
    </row>
    <row r="51" spans="2:14" ht="32.25" customHeight="1" x14ac:dyDescent="0.25">
      <c r="B51" s="174"/>
      <c r="C51" s="185"/>
      <c r="D51" s="186"/>
      <c r="E51" s="188"/>
      <c r="F51" s="396" t="s">
        <v>244</v>
      </c>
      <c r="G51" s="396"/>
      <c r="H51" s="396"/>
      <c r="I51" s="396"/>
      <c r="J51" s="396"/>
      <c r="K51" s="396"/>
      <c r="L51" s="177"/>
    </row>
    <row r="52" spans="2:14" ht="92.25" customHeight="1" x14ac:dyDescent="0.25">
      <c r="B52" s="174"/>
      <c r="C52" s="185"/>
      <c r="D52" s="186"/>
      <c r="E52" s="243"/>
      <c r="F52" s="396" t="s">
        <v>8</v>
      </c>
      <c r="G52" s="396"/>
      <c r="H52" s="396"/>
      <c r="I52" s="396"/>
      <c r="J52" s="396"/>
      <c r="K52" s="396"/>
      <c r="L52" s="177"/>
    </row>
    <row r="53" spans="2:14" ht="23.25" customHeight="1" x14ac:dyDescent="0.25">
      <c r="B53" s="174"/>
      <c r="C53" s="185"/>
      <c r="D53" s="186"/>
      <c r="E53" s="198"/>
      <c r="F53" s="396" t="s">
        <v>9</v>
      </c>
      <c r="G53" s="396"/>
      <c r="H53" s="396"/>
      <c r="I53" s="396"/>
      <c r="J53" s="396"/>
      <c r="K53" s="396"/>
      <c r="L53" s="177"/>
    </row>
    <row r="54" spans="2:14" ht="121.5" customHeight="1" x14ac:dyDescent="0.25">
      <c r="B54" s="174"/>
      <c r="C54" s="185"/>
      <c r="D54" s="394" t="s">
        <v>272</v>
      </c>
      <c r="E54" s="394"/>
      <c r="F54" s="394"/>
      <c r="G54" s="394"/>
      <c r="H54" s="394"/>
      <c r="I54" s="394"/>
      <c r="J54" s="394"/>
      <c r="K54" s="394"/>
      <c r="L54" s="177"/>
      <c r="N54" s="294"/>
    </row>
    <row r="55" spans="2:14" x14ac:dyDescent="0.25">
      <c r="B55" s="174"/>
      <c r="C55" s="218"/>
      <c r="D55" s="296"/>
      <c r="E55" s="296"/>
      <c r="F55" s="296"/>
      <c r="G55" s="296"/>
      <c r="H55" s="296"/>
      <c r="I55" s="296"/>
      <c r="J55" s="296"/>
      <c r="K55" s="296"/>
      <c r="L55" s="177"/>
      <c r="N55" s="294"/>
    </row>
    <row r="56" spans="2:14" ht="98.25" customHeight="1" x14ac:dyDescent="0.25">
      <c r="B56" s="174"/>
      <c r="C56" s="394" t="s">
        <v>197</v>
      </c>
      <c r="D56" s="394"/>
      <c r="E56" s="394"/>
      <c r="F56" s="394"/>
      <c r="G56" s="394"/>
      <c r="H56" s="394"/>
      <c r="I56" s="394"/>
      <c r="J56" s="394"/>
      <c r="K56" s="394"/>
      <c r="L56" s="177"/>
      <c r="N56" s="294"/>
    </row>
    <row r="57" spans="2:14" x14ac:dyDescent="0.25">
      <c r="B57" s="174"/>
      <c r="C57" s="218"/>
      <c r="D57" s="296"/>
      <c r="E57" s="296"/>
      <c r="F57" s="296"/>
      <c r="G57" s="296"/>
      <c r="H57" s="296"/>
      <c r="I57" s="296"/>
      <c r="J57" s="296"/>
      <c r="K57" s="296"/>
      <c r="L57" s="177"/>
      <c r="N57" s="294"/>
    </row>
    <row r="58" spans="2:14" ht="48.75" customHeight="1" x14ac:dyDescent="0.25">
      <c r="B58" s="174"/>
      <c r="C58" s="302"/>
      <c r="D58" s="394" t="s">
        <v>294</v>
      </c>
      <c r="E58" s="394"/>
      <c r="F58" s="394"/>
      <c r="G58" s="394"/>
      <c r="H58" s="394"/>
      <c r="I58" s="394"/>
      <c r="J58" s="394"/>
      <c r="K58" s="394"/>
      <c r="L58" s="177"/>
      <c r="N58" s="294"/>
    </row>
    <row r="59" spans="2:14" x14ac:dyDescent="0.25">
      <c r="B59" s="174"/>
      <c r="C59" s="218"/>
      <c r="D59" s="296"/>
      <c r="E59" s="296"/>
      <c r="F59" s="296"/>
      <c r="G59" s="296"/>
      <c r="H59" s="296"/>
      <c r="I59" s="296"/>
      <c r="J59" s="296"/>
      <c r="K59" s="296"/>
      <c r="L59" s="177"/>
      <c r="N59" s="294"/>
    </row>
    <row r="60" spans="2:14" ht="97.5" customHeight="1" x14ac:dyDescent="0.25">
      <c r="B60" s="174"/>
      <c r="C60" s="303"/>
      <c r="D60" s="394" t="s">
        <v>273</v>
      </c>
      <c r="E60" s="394"/>
      <c r="F60" s="394"/>
      <c r="G60" s="394"/>
      <c r="H60" s="394"/>
      <c r="I60" s="394"/>
      <c r="J60" s="394"/>
      <c r="K60" s="394"/>
      <c r="L60" s="177"/>
      <c r="N60" s="294"/>
    </row>
    <row r="61" spans="2:14" x14ac:dyDescent="0.25">
      <c r="B61" s="174"/>
      <c r="C61" s="218"/>
      <c r="D61" s="218"/>
      <c r="E61" s="218"/>
      <c r="F61" s="218"/>
      <c r="G61" s="218"/>
      <c r="H61" s="218"/>
      <c r="I61" s="218"/>
      <c r="J61" s="218"/>
      <c r="K61" s="218"/>
      <c r="L61" s="177"/>
    </row>
    <row r="62" spans="2:14" ht="54" customHeight="1" x14ac:dyDescent="0.25">
      <c r="B62" s="174"/>
      <c r="C62" s="244"/>
      <c r="D62" s="394" t="s">
        <v>274</v>
      </c>
      <c r="E62" s="394"/>
      <c r="F62" s="394"/>
      <c r="G62" s="394"/>
      <c r="H62" s="394"/>
      <c r="I62" s="394"/>
      <c r="J62" s="394"/>
      <c r="K62" s="394"/>
      <c r="L62" s="177"/>
    </row>
    <row r="63" spans="2:14" x14ac:dyDescent="0.25">
      <c r="B63" s="174"/>
      <c r="C63" s="245"/>
      <c r="D63" s="398" t="s">
        <v>190</v>
      </c>
      <c r="E63" s="398"/>
      <c r="F63" s="398"/>
      <c r="G63" s="398"/>
      <c r="H63" s="398"/>
      <c r="I63" s="398"/>
      <c r="J63" s="398"/>
      <c r="K63" s="398"/>
      <c r="L63" s="177"/>
    </row>
    <row r="64" spans="2:14" x14ac:dyDescent="0.25">
      <c r="B64" s="174"/>
      <c r="C64" s="245"/>
      <c r="D64" s="399" t="s">
        <v>10</v>
      </c>
      <c r="E64" s="399"/>
      <c r="F64" s="399"/>
      <c r="G64" s="399"/>
      <c r="H64" s="399"/>
      <c r="I64" s="399"/>
      <c r="J64" s="399"/>
      <c r="K64" s="399"/>
      <c r="L64" s="177"/>
    </row>
    <row r="65" spans="2:14" x14ac:dyDescent="0.25">
      <c r="B65" s="174"/>
      <c r="C65" s="245"/>
      <c r="D65" s="399" t="s">
        <v>11</v>
      </c>
      <c r="E65" s="399"/>
      <c r="F65" s="399"/>
      <c r="G65" s="399"/>
      <c r="H65" s="399"/>
      <c r="I65" s="399"/>
      <c r="J65" s="399"/>
      <c r="K65" s="399"/>
      <c r="L65" s="177"/>
    </row>
    <row r="66" spans="2:14" x14ac:dyDescent="0.25">
      <c r="B66" s="174"/>
      <c r="C66" s="245"/>
      <c r="D66" s="399" t="s">
        <v>12</v>
      </c>
      <c r="E66" s="399"/>
      <c r="F66" s="399"/>
      <c r="G66" s="399"/>
      <c r="H66" s="399"/>
      <c r="I66" s="399"/>
      <c r="J66" s="399"/>
      <c r="K66" s="399"/>
      <c r="L66" s="177"/>
    </row>
    <row r="67" spans="2:14" x14ac:dyDescent="0.25">
      <c r="B67" s="174"/>
      <c r="C67" s="245"/>
      <c r="D67" s="298"/>
      <c r="E67" s="298"/>
      <c r="F67" s="298"/>
      <c r="G67" s="298"/>
      <c r="H67" s="298"/>
      <c r="I67" s="298"/>
      <c r="J67" s="298"/>
      <c r="K67" s="298"/>
      <c r="L67" s="177"/>
    </row>
    <row r="68" spans="2:14" ht="33.75" customHeight="1" x14ac:dyDescent="0.25">
      <c r="B68" s="174"/>
      <c r="C68" s="245"/>
      <c r="D68" s="394" t="s">
        <v>196</v>
      </c>
      <c r="E68" s="400"/>
      <c r="F68" s="400"/>
      <c r="G68" s="400"/>
      <c r="H68" s="400"/>
      <c r="I68" s="400"/>
      <c r="J68" s="400"/>
      <c r="K68" s="400"/>
      <c r="L68" s="177"/>
      <c r="N68" s="196"/>
    </row>
    <row r="69" spans="2:14" x14ac:dyDescent="0.25">
      <c r="B69" s="174"/>
      <c r="C69" s="218"/>
      <c r="D69" s="297"/>
      <c r="E69" s="297"/>
      <c r="F69" s="297"/>
      <c r="G69" s="297"/>
      <c r="H69" s="297"/>
      <c r="I69" s="297"/>
      <c r="J69" s="297"/>
      <c r="K69" s="297"/>
      <c r="L69" s="177"/>
    </row>
    <row r="70" spans="2:14" ht="52.5" customHeight="1" x14ac:dyDescent="0.25">
      <c r="B70" s="174"/>
      <c r="C70" s="306"/>
      <c r="D70" s="394" t="s">
        <v>199</v>
      </c>
      <c r="E70" s="394"/>
      <c r="F70" s="394"/>
      <c r="G70" s="394"/>
      <c r="H70" s="394"/>
      <c r="I70" s="394"/>
      <c r="J70" s="394"/>
      <c r="K70" s="394"/>
      <c r="L70" s="177"/>
    </row>
    <row r="71" spans="2:14" x14ac:dyDescent="0.25">
      <c r="B71" s="174"/>
      <c r="C71" s="218"/>
      <c r="D71" s="194"/>
      <c r="E71" s="194"/>
      <c r="F71" s="194"/>
      <c r="G71" s="194"/>
      <c r="H71" s="194"/>
      <c r="I71" s="194"/>
      <c r="J71" s="194"/>
      <c r="K71" s="194"/>
      <c r="L71" s="177"/>
    </row>
    <row r="72" spans="2:14" ht="46.15" customHeight="1" x14ac:dyDescent="0.25">
      <c r="B72" s="174"/>
      <c r="C72" s="397" t="s">
        <v>198</v>
      </c>
      <c r="D72" s="397"/>
      <c r="E72" s="397"/>
      <c r="F72" s="397"/>
      <c r="G72" s="397"/>
      <c r="H72" s="397"/>
      <c r="I72" s="397"/>
      <c r="J72" s="397"/>
      <c r="K72" s="397"/>
      <c r="L72" s="177"/>
    </row>
    <row r="73" spans="2:14" ht="38.25" customHeight="1" x14ac:dyDescent="0.25">
      <c r="B73" s="174"/>
      <c r="C73" s="218"/>
      <c r="D73" s="187"/>
      <c r="E73" s="391" t="s">
        <v>172</v>
      </c>
      <c r="F73" s="391"/>
      <c r="G73" s="391"/>
      <c r="H73" s="391"/>
      <c r="I73" s="391"/>
      <c r="J73" s="391"/>
      <c r="K73" s="391"/>
      <c r="L73" s="177"/>
      <c r="N73" s="268"/>
    </row>
    <row r="74" spans="2:14" ht="45.6" customHeight="1" x14ac:dyDescent="0.25">
      <c r="B74" s="174"/>
      <c r="C74" s="218"/>
      <c r="D74" s="189"/>
      <c r="E74" s="391" t="s">
        <v>183</v>
      </c>
      <c r="F74" s="391"/>
      <c r="G74" s="391"/>
      <c r="H74" s="391"/>
      <c r="I74" s="391"/>
      <c r="J74" s="391"/>
      <c r="K74" s="391"/>
      <c r="L74" s="177"/>
      <c r="N74" s="295"/>
    </row>
    <row r="75" spans="2:14" ht="45" customHeight="1" x14ac:dyDescent="0.25">
      <c r="B75" s="174"/>
      <c r="C75" s="218"/>
      <c r="D75" s="190"/>
      <c r="E75" s="391" t="s">
        <v>163</v>
      </c>
      <c r="F75" s="391"/>
      <c r="G75" s="391"/>
      <c r="H75" s="391"/>
      <c r="I75" s="391"/>
      <c r="J75" s="391"/>
      <c r="K75" s="391"/>
      <c r="L75" s="177"/>
    </row>
    <row r="76" spans="2:14" x14ac:dyDescent="0.25">
      <c r="B76" s="174"/>
      <c r="C76" s="218"/>
      <c r="D76" s="297"/>
      <c r="E76" s="191"/>
      <c r="F76" s="296"/>
      <c r="G76" s="296"/>
      <c r="H76" s="296"/>
      <c r="I76" s="296"/>
      <c r="J76" s="296"/>
      <c r="K76" s="296"/>
      <c r="L76" s="177"/>
    </row>
    <row r="77" spans="2:14" ht="48" customHeight="1" x14ac:dyDescent="0.25">
      <c r="B77" s="174"/>
      <c r="C77" s="218"/>
      <c r="D77" s="394" t="s">
        <v>13</v>
      </c>
      <c r="E77" s="394"/>
      <c r="F77" s="394"/>
      <c r="G77" s="394"/>
      <c r="H77" s="394"/>
      <c r="I77" s="394"/>
      <c r="J77" s="394"/>
      <c r="K77" s="394"/>
      <c r="L77" s="177"/>
    </row>
    <row r="78" spans="2:14" ht="33" customHeight="1" thickBot="1" x14ac:dyDescent="0.3">
      <c r="B78" s="174"/>
      <c r="C78" s="218"/>
      <c r="D78" s="192"/>
      <c r="E78" s="391" t="s">
        <v>165</v>
      </c>
      <c r="F78" s="391"/>
      <c r="G78" s="391"/>
      <c r="H78" s="391"/>
      <c r="I78" s="391"/>
      <c r="J78" s="391"/>
      <c r="K78" s="391"/>
      <c r="L78" s="177"/>
    </row>
    <row r="79" spans="2:14" ht="33" customHeight="1" thickBot="1" x14ac:dyDescent="0.3">
      <c r="B79" s="174"/>
      <c r="C79" s="218"/>
      <c r="D79" s="193"/>
      <c r="E79" s="404" t="s">
        <v>164</v>
      </c>
      <c r="F79" s="391"/>
      <c r="G79" s="391"/>
      <c r="H79" s="391"/>
      <c r="I79" s="391"/>
      <c r="J79" s="391"/>
      <c r="K79" s="391"/>
      <c r="L79" s="177"/>
    </row>
    <row r="80" spans="2:14" x14ac:dyDescent="0.25">
      <c r="B80" s="174"/>
      <c r="C80" s="218"/>
      <c r="D80" s="297"/>
      <c r="E80" s="297"/>
      <c r="F80" s="297"/>
      <c r="G80" s="297"/>
      <c r="H80" s="297"/>
      <c r="I80" s="297"/>
      <c r="J80" s="297"/>
      <c r="K80" s="297"/>
      <c r="L80" s="177"/>
    </row>
    <row r="81" spans="2:14" ht="17.45" customHeight="1" x14ac:dyDescent="0.25">
      <c r="B81" s="174"/>
      <c r="C81" s="401" t="s">
        <v>14</v>
      </c>
      <c r="D81" s="401"/>
      <c r="E81" s="401"/>
      <c r="F81" s="401"/>
      <c r="G81" s="401"/>
      <c r="H81" s="401"/>
      <c r="I81" s="401"/>
      <c r="J81" s="401"/>
      <c r="K81" s="401"/>
      <c r="L81" s="177"/>
    </row>
    <row r="82" spans="2:14" ht="90" customHeight="1" x14ac:dyDescent="0.25">
      <c r="B82" s="174"/>
      <c r="C82" s="394" t="s">
        <v>275</v>
      </c>
      <c r="D82" s="394"/>
      <c r="E82" s="394"/>
      <c r="F82" s="394"/>
      <c r="G82" s="394"/>
      <c r="H82" s="394"/>
      <c r="I82" s="394"/>
      <c r="J82" s="394"/>
      <c r="K82" s="394"/>
      <c r="L82" s="177"/>
      <c r="N82" s="269"/>
    </row>
    <row r="83" spans="2:14" ht="15" customHeight="1" x14ac:dyDescent="0.25">
      <c r="B83" s="174"/>
      <c r="C83" s="359"/>
      <c r="D83" s="359"/>
      <c r="E83" s="359"/>
      <c r="F83" s="359"/>
      <c r="G83" s="359"/>
      <c r="H83" s="359"/>
      <c r="I83" s="359"/>
      <c r="J83" s="359"/>
      <c r="K83" s="359"/>
      <c r="L83" s="177"/>
      <c r="N83" s="269"/>
    </row>
    <row r="84" spans="2:14" ht="165" customHeight="1" x14ac:dyDescent="0.25">
      <c r="B84" s="174"/>
      <c r="C84" s="361"/>
      <c r="D84" s="394" t="s">
        <v>289</v>
      </c>
      <c r="E84" s="394"/>
      <c r="F84" s="394"/>
      <c r="G84" s="394"/>
      <c r="H84" s="394"/>
      <c r="I84" s="394"/>
      <c r="J84" s="394"/>
      <c r="K84" s="394"/>
      <c r="L84" s="177"/>
      <c r="N84" s="269"/>
    </row>
    <row r="85" spans="2:14" x14ac:dyDescent="0.25">
      <c r="B85" s="180"/>
      <c r="C85" s="403"/>
      <c r="D85" s="403"/>
      <c r="E85" s="403"/>
      <c r="F85" s="403"/>
      <c r="G85" s="403"/>
      <c r="H85" s="403"/>
      <c r="I85" s="403"/>
      <c r="J85" s="403"/>
      <c r="K85" s="403"/>
      <c r="L85" s="182"/>
    </row>
    <row r="87" spans="2:14" x14ac:dyDescent="0.25">
      <c r="C87" s="304"/>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zoomScale="80" zoomScaleNormal="80" workbookViewId="0"/>
  </sheetViews>
  <sheetFormatPr defaultColWidth="8.7109375" defaultRowHeight="12.75" x14ac:dyDescent="0.2"/>
  <cols>
    <col min="1" max="3" width="8.7109375" style="5"/>
    <col min="4" max="4" width="11.42578125" style="5" customWidth="1"/>
    <col min="5" max="5" width="38.28515625" style="5" customWidth="1"/>
    <col min="6" max="6" width="16.42578125" style="5" customWidth="1"/>
    <col min="7" max="7" width="22.140625" style="5" customWidth="1"/>
    <col min="8" max="8" width="21.140625" style="5" customWidth="1"/>
    <col min="9" max="9" width="18.5703125" style="5" customWidth="1"/>
    <col min="10" max="10" width="19" style="5" customWidth="1"/>
    <col min="11" max="11" width="16.28515625" style="5" customWidth="1"/>
    <col min="12" max="12" width="20.5703125" style="5" customWidth="1"/>
    <col min="13" max="13" width="20.140625" style="5" customWidth="1"/>
    <col min="14" max="14" width="18.5703125" style="5" customWidth="1"/>
    <col min="15" max="15" width="18.140625" style="5" customWidth="1"/>
    <col min="16" max="16" width="24.7109375" style="5" customWidth="1"/>
    <col min="17" max="17" width="21.42578125" style="5" customWidth="1"/>
    <col min="18" max="20" width="8.7109375" style="5"/>
    <col min="21" max="21" width="8.7109375" style="109"/>
    <col min="22" max="22" width="8.7109375" style="387"/>
    <col min="23" max="16384" width="8.7109375" style="5"/>
  </cols>
  <sheetData>
    <row r="2" spans="1:22" x14ac:dyDescent="0.2">
      <c r="U2" s="109">
        <v>4</v>
      </c>
      <c r="V2" s="387">
        <v>0</v>
      </c>
    </row>
    <row r="3" spans="1:22" ht="12.75" customHeight="1" x14ac:dyDescent="0.2">
      <c r="D3" s="445" t="s">
        <v>166</v>
      </c>
      <c r="E3" s="446"/>
      <c r="F3" s="447"/>
      <c r="H3" s="469"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69"/>
      <c r="U3" s="109">
        <v>7</v>
      </c>
      <c r="V3" s="387">
        <v>0.02</v>
      </c>
    </row>
    <row r="4" spans="1:22" ht="13.5" thickBot="1" x14ac:dyDescent="0.25">
      <c r="D4" s="217" t="s">
        <v>15</v>
      </c>
      <c r="E4" s="18"/>
      <c r="F4" s="40" t="s">
        <v>137</v>
      </c>
      <c r="H4" s="469"/>
      <c r="I4" s="469"/>
      <c r="V4" s="387">
        <v>0.04</v>
      </c>
    </row>
    <row r="5" spans="1:22" ht="13.5" thickTop="1" x14ac:dyDescent="0.2">
      <c r="D5" s="216" t="s">
        <v>281</v>
      </c>
      <c r="F5" s="167">
        <v>4</v>
      </c>
      <c r="H5" s="469"/>
      <c r="I5" s="469"/>
      <c r="V5" s="387">
        <v>0.06</v>
      </c>
    </row>
    <row r="6" spans="1:22" ht="13.5" thickBot="1" x14ac:dyDescent="0.25">
      <c r="D6" s="248" t="s">
        <v>16</v>
      </c>
      <c r="E6" s="249"/>
      <c r="F6" s="168">
        <v>0</v>
      </c>
      <c r="H6" s="469"/>
      <c r="I6" s="469"/>
      <c r="V6" s="387">
        <v>0.08</v>
      </c>
    </row>
    <row r="7" spans="1:22" ht="13.5" thickTop="1" x14ac:dyDescent="0.2">
      <c r="D7" s="251"/>
      <c r="F7" s="267"/>
      <c r="V7" s="387">
        <v>0.1</v>
      </c>
    </row>
    <row r="8" spans="1:22" x14ac:dyDescent="0.2">
      <c r="D8" s="16"/>
      <c r="F8" s="17"/>
      <c r="V8" s="387">
        <v>0.12</v>
      </c>
    </row>
    <row r="9" spans="1:22" ht="18.75" customHeight="1" x14ac:dyDescent="0.2">
      <c r="D9" s="16"/>
      <c r="F9" s="17"/>
      <c r="G9" s="460" t="s">
        <v>167</v>
      </c>
      <c r="H9" s="461"/>
      <c r="I9" s="461"/>
      <c r="J9" s="462"/>
      <c r="L9" s="466" t="s">
        <v>168</v>
      </c>
      <c r="M9" s="467"/>
      <c r="N9" s="467"/>
      <c r="O9" s="467"/>
      <c r="P9" s="467"/>
      <c r="Q9" s="468"/>
      <c r="V9" s="387">
        <v>0.14000000000000001</v>
      </c>
    </row>
    <row r="10" spans="1:22" ht="18.75" customHeight="1" x14ac:dyDescent="0.2">
      <c r="A10" s="284"/>
      <c r="F10" s="273"/>
      <c r="G10" s="463"/>
      <c r="H10" s="464"/>
      <c r="I10" s="464"/>
      <c r="J10" s="465"/>
      <c r="L10" s="451" t="s">
        <v>194</v>
      </c>
      <c r="M10" s="454"/>
      <c r="N10" s="455" t="s">
        <v>195</v>
      </c>
      <c r="O10" s="456"/>
      <c r="P10" s="451" t="s">
        <v>17</v>
      </c>
      <c r="Q10" s="452"/>
      <c r="V10" s="387">
        <v>0.16</v>
      </c>
    </row>
    <row r="11" spans="1:22" ht="107.25" customHeight="1" x14ac:dyDescent="0.2">
      <c r="A11" s="360"/>
      <c r="D11" s="213"/>
      <c r="E11" s="213"/>
      <c r="F11" s="214" t="s">
        <v>203</v>
      </c>
      <c r="G11" s="42" t="s">
        <v>18</v>
      </c>
      <c r="H11" s="219" t="s">
        <v>19</v>
      </c>
      <c r="I11" s="41" t="s">
        <v>20</v>
      </c>
      <c r="J11" s="92" t="str">
        <f>"Debt below 60% of GDP in T+"&amp;10+F5&amp;" **"</f>
        <v>Debt below 60% of GDP in T+14 **</v>
      </c>
      <c r="L11" s="92" t="s">
        <v>192</v>
      </c>
      <c r="M11" s="226" t="s">
        <v>193</v>
      </c>
      <c r="N11" s="372" t="s">
        <v>21</v>
      </c>
      <c r="O11" s="373" t="s">
        <v>22</v>
      </c>
      <c r="P11" s="262" t="s">
        <v>23</v>
      </c>
      <c r="Q11" s="92" t="s">
        <v>24</v>
      </c>
      <c r="V11" s="387">
        <v>0.18</v>
      </c>
    </row>
    <row r="12" spans="1:22" x14ac:dyDescent="0.2">
      <c r="D12" s="14" t="s">
        <v>25</v>
      </c>
      <c r="G12" s="10" t="str">
        <f ca="1">IF(OR('Adjust. no safeguard'!F57&gt;60,'Adjust. no safeguard'!F77&lt;-3),IF(SUM(OFFSET('Adjust. no safeguard'!$F$83,0,$F$5+1,1,10))=0,"ok","Not met"),"")</f>
        <v>ok</v>
      </c>
      <c r="H12" s="220" t="str">
        <f>IF(OR('Adjust. no safeguard'!F57&gt;60,'Adjust. no safeguard'!F77&lt;-3),IF($F$5=4,IF(Stochastic!$O$17&lt;Stochastic!$J$17,"ok","Not met"),IF(Stochastic!$R$17&lt;Stochastic!$M$17,"ok","Not met")),"")</f>
        <v>ok</v>
      </c>
      <c r="I12" s="8" t="str">
        <f ca="1">IF(MIN(OFFSET('Adjust. no safeguard'!$F$77,0,$F$5,1,11))&gt;-3.05,"ok","Not met")</f>
        <v>ok</v>
      </c>
      <c r="J12" s="12" t="str">
        <f ca="1">IF(OFFSET('Adjust. no safeguard'!$F$57,0,$F$5+10,1,1)&lt;60,"ok","Not met")</f>
        <v>ok</v>
      </c>
      <c r="L12" s="416"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IF(AND(MAX(_xlpm.debt90)=0,MAX(_xlpm.debt6090)=1),IF(AVERAGEIFS(_xlpm.debtChange,_xlpm.debt6090,1,_xlpm.EDP,0)&lt;-0.5,"ok","Not met"),
IF(AND(MAX(_xlpm.debt90)=1,MAX(_xlpm.debt6090)=0),IF(AVERAGEIFS(_xlpm.debtChange,_xlpm.EDP,0)&lt;-1,"ok","Not met"),
IF(AND(MAX(_xlpm.debt90)=1,MAX(_xlpm.debt6090)=1),IF(AND(AVERAGEIFS(_xlpm.debtChange,_xlpm.debt90,1,_xlpm.EDP,0)&lt;-1,AVERAGEIFS(_xlpm.debtChange,_xlpm.debt6090,1,_xlpm.EDP,0)&lt;-0.5),"ok","Not met")))))))</f>
        <v>ok</v>
      </c>
      <c r="M12" s="419">
        <f ca="1">_xlfn.LET(_xlpm.debtChange,OFFSET('Adjustment scenario'!F58,0,1,1,$F$5),
_xlpm.debt60,OFFSET('Adjustment scenario'!F86,0,1,1,$F$5),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IF(AND(MAX(_xlpm.debt90)=0,MAX(_xlpm.debt6090)=1),AVERAGEIFS(_xlpm.debtChange,_xlpm.debt60,1,_xlpm.EDP,0),
IF(AND(MAX(_xlpm.debt90)=1,MAX(_xlpm.debt6090)=0),AVERAGEIFS(_xlpm.debtChange,_xlpm.EDP,0),
IF(AND(MAX(_xlpm.debt90)=1,MAX(_xlpm.debt6090)=1),AVERAGEIFS(_xlpm.debtChange,_xlpm.debt60,1,_xlpm.EDP,0)))))))</f>
        <v>-5.1122061251090507</v>
      </c>
      <c r="N12" s="457" t="str">
        <f>IF(AND(O12=0,F6&lt;0.5),"not relevant","ok")</f>
        <v>not relevant</v>
      </c>
      <c r="O12" s="413">
        <f>IF(F6&lt;0.5,COUNTIFS('Adjustment scenario'!F77:H77,"&lt;"&amp;-3.049),0)+IF(AND(F5=4,J19&gt;0.5,J19&gt;F6),1,COUNTIFS(J19:M19,"&gt;" &amp; F6,J19:M19,"&gt;"&amp;0.5))</f>
        <v>0</v>
      </c>
      <c r="P12" s="416" t="str">
        <f>IF(OR(AND(F5=4,Q12=0,F6&lt;0.4),AND(F5=7,Q12=0,F6&lt;0.25)),"not relevant, 
(over the adjustment horizon)","ok")</f>
        <v>not relevant, 
(over the adjustment horizon)</v>
      </c>
      <c r="Q12" s="448">
        <f>IF(AND('Criteria results'!$F$5=4,'Criteria results'!$F$6&lt;=0.4),COUNTIFS('Adjustment scenario'!G13:J13,0.4,'Adjustment scenario'!F88:I88,0),IF(AND('Criteria results'!$F$5=7,'Criteria results'!$F$6&lt;=0.25),COUNTIFS('Adjustment scenario'!G13:M13,0.25,'Adjustment scenario'!F88:L88,0),0))</f>
        <v>0</v>
      </c>
      <c r="V12" s="387">
        <v>0.2</v>
      </c>
    </row>
    <row r="13" spans="1:22" x14ac:dyDescent="0.2">
      <c r="D13" s="14" t="s">
        <v>26</v>
      </c>
      <c r="G13" s="10" t="str">
        <f ca="1">IF(OR('Adjustment scenario'!F57&gt;60,'Adjustment scenario'!F77&lt;-3),IF(SUM(OFFSET('Financial stress'!$F$75,0,$F$5+1,1,10))=0,"ok","Not met"),"")</f>
        <v>ok</v>
      </c>
      <c r="H13" s="220"/>
      <c r="I13" s="8"/>
      <c r="J13" s="12" t="str">
        <f ca="1">IF(OR('Adjustment scenario'!F57&gt;60,'Adjustment scenario'!F77&lt;-3),IF(OFFSET('Financial stress'!$F$56,0,$F$5+10,1,1)&lt;60,"ok","Not met"),"")</f>
        <v>ok</v>
      </c>
      <c r="L13" s="417"/>
      <c r="M13" s="420"/>
      <c r="N13" s="458"/>
      <c r="O13" s="414"/>
      <c r="P13" s="417"/>
      <c r="Q13" s="449"/>
      <c r="V13" s="387">
        <v>0.22</v>
      </c>
    </row>
    <row r="14" spans="1:22" x14ac:dyDescent="0.2">
      <c r="D14" s="14" t="s">
        <v>27</v>
      </c>
      <c r="G14" s="10" t="str">
        <f ca="1">IF(OR('Adjustment scenario'!F57&gt;60,'Adjustment scenario'!F77&lt;-3),IF(SUM(OFFSET('Lower SPB'!$F$75,0,$F$5+1,1,10))=0,"ok","Not met"),"")</f>
        <v>ok</v>
      </c>
      <c r="H14" s="220"/>
      <c r="I14" s="8"/>
      <c r="J14" s="12" t="str">
        <f ca="1">IF(OR('Adjustment scenario'!F57&gt;60,'Adjustment scenario'!F77&lt;-3),IF(OFFSET('Lower SPB'!$F$56,0,$F$5+10,1,1)&lt;60,"ok","Not met"),"")</f>
        <v>ok</v>
      </c>
      <c r="L14" s="417"/>
      <c r="M14" s="420"/>
      <c r="N14" s="458"/>
      <c r="O14" s="414"/>
      <c r="P14" s="417"/>
      <c r="Q14" s="449"/>
      <c r="V14" s="387">
        <v>0.24</v>
      </c>
    </row>
    <row r="15" spans="1:22" x14ac:dyDescent="0.2">
      <c r="D15" s="15" t="s">
        <v>28</v>
      </c>
      <c r="E15" s="6"/>
      <c r="F15" s="6"/>
      <c r="G15" s="11" t="str">
        <f ca="1">IF(OR('Adjustment scenario'!F57&gt;60,'Adjustment scenario'!F77&lt;-3),IF(SUM(OFFSET('Adverse (r-g)'!$F$76,0,$F$5+1,1,10))=0,"ok","Not met"),"")</f>
        <v>ok</v>
      </c>
      <c r="H15" s="221"/>
      <c r="I15" s="9"/>
      <c r="J15" s="13" t="str">
        <f ca="1">IF(OR('Adjustment scenario'!F57&gt;60,'Adjustment scenario'!F77&lt;-3),IF(OFFSET('Adverse (r-g)'!$F$57,0,$F$5+10,1,1)&lt;60,"ok","Not met"),"")</f>
        <v>ok</v>
      </c>
      <c r="L15" s="418"/>
      <c r="M15" s="421"/>
      <c r="N15" s="459"/>
      <c r="O15" s="415"/>
      <c r="P15" s="418"/>
      <c r="Q15" s="450"/>
      <c r="V15" s="387">
        <v>0.26</v>
      </c>
    </row>
    <row r="16" spans="1:22" ht="102" customHeight="1" x14ac:dyDescent="0.2">
      <c r="D16" s="422" t="s">
        <v>290</v>
      </c>
      <c r="E16" s="422"/>
      <c r="F16" s="422"/>
      <c r="G16" s="422"/>
      <c r="H16" s="422"/>
      <c r="I16" s="422"/>
      <c r="J16" s="422"/>
      <c r="L16" s="453" t="s">
        <v>204</v>
      </c>
      <c r="M16" s="453"/>
      <c r="N16" s="453"/>
      <c r="O16" s="453"/>
      <c r="P16" s="453"/>
      <c r="Q16" s="453"/>
      <c r="V16" s="387">
        <v>0.28000000000000003</v>
      </c>
    </row>
    <row r="17" spans="4:22" ht="15.75" customHeight="1" x14ac:dyDescent="0.2">
      <c r="D17" s="227"/>
      <c r="E17" s="227"/>
      <c r="F17" s="227"/>
      <c r="G17" s="423" t="s">
        <v>171</v>
      </c>
      <c r="H17" s="424"/>
      <c r="I17" s="424"/>
      <c r="J17" s="425"/>
      <c r="K17" s="246"/>
      <c r="L17" s="246"/>
      <c r="M17" s="246"/>
      <c r="N17" s="246"/>
      <c r="O17" s="246"/>
      <c r="P17" s="233"/>
      <c r="V17" s="387">
        <v>0.3</v>
      </c>
    </row>
    <row r="18" spans="4:22" ht="13.5" customHeight="1" x14ac:dyDescent="0.2">
      <c r="D18" s="227"/>
      <c r="E18" s="228"/>
      <c r="F18" s="234"/>
      <c r="G18" s="229">
        <v>2025</v>
      </c>
      <c r="H18" s="230">
        <v>2026</v>
      </c>
      <c r="I18" s="230">
        <v>2027</v>
      </c>
      <c r="J18" s="230">
        <v>2028</v>
      </c>
      <c r="K18" s="230">
        <v>2029</v>
      </c>
      <c r="L18" s="230">
        <v>2030</v>
      </c>
      <c r="M18" s="247">
        <v>2031</v>
      </c>
      <c r="N18" s="235"/>
      <c r="P18" s="235"/>
      <c r="V18" s="387">
        <v>0.32</v>
      </c>
    </row>
    <row r="19" spans="4:22" ht="15" customHeight="1" x14ac:dyDescent="0.2">
      <c r="D19" s="426" t="s">
        <v>29</v>
      </c>
      <c r="E19" s="427"/>
      <c r="F19" s="428"/>
      <c r="G19" s="232">
        <f>'Adjustment scenario'!G12-'Adjustment scenario'!F12</f>
        <v>0</v>
      </c>
      <c r="H19" s="239">
        <f>'Adjustment scenario'!H12-'Adjustment scenario'!G12</f>
        <v>0</v>
      </c>
      <c r="I19" s="239">
        <f>'Adjustment scenario'!I12-'Adjustment scenario'!H12</f>
        <v>0</v>
      </c>
      <c r="J19" s="239">
        <f>'Adjustment scenario'!J12-'Adjustment scenario'!I12</f>
        <v>0</v>
      </c>
      <c r="K19" s="239">
        <f>'Adjustment scenario'!K12-'Adjustment scenario'!J12</f>
        <v>0</v>
      </c>
      <c r="L19" s="239">
        <f>'Adjustment scenario'!L12-'Adjustment scenario'!K12</f>
        <v>0</v>
      </c>
      <c r="M19" s="240">
        <f>'Adjustment scenario'!M12-'Adjustment scenario'!L12</f>
        <v>0</v>
      </c>
      <c r="N19" s="232"/>
      <c r="P19" s="232"/>
      <c r="V19" s="387">
        <v>0.34</v>
      </c>
    </row>
    <row r="20" spans="4:22" ht="15" customHeight="1" x14ac:dyDescent="0.2">
      <c r="D20" s="405" t="s">
        <v>30</v>
      </c>
      <c r="E20" s="406"/>
      <c r="F20" s="407"/>
      <c r="G20" s="237">
        <f>'Adjustment scenario'!G79</f>
        <v>5.9135439999999999</v>
      </c>
      <c r="H20" s="238">
        <f>'Adjustment scenario'!H79</f>
        <v>4.9674303750000002</v>
      </c>
      <c r="I20" s="238">
        <f>'Adjustment scenario'!I79</f>
        <v>4.45550975</v>
      </c>
      <c r="J20" s="238">
        <f>'Adjustment scenario'!J79</f>
        <v>4.2879221249999997</v>
      </c>
      <c r="K20" s="238">
        <f>'Adjustment scenario'!K79</f>
        <v>4.1255884999999992</v>
      </c>
      <c r="L20" s="238">
        <f>'Adjustment scenario'!L79</f>
        <v>4.0615158749999996</v>
      </c>
      <c r="M20" s="241">
        <f>'Adjustment scenario'!M79</f>
        <v>4.0313812499999999</v>
      </c>
      <c r="N20" s="256"/>
      <c r="P20" s="232"/>
      <c r="V20" s="387">
        <v>0.36</v>
      </c>
    </row>
    <row r="21" spans="4:22" ht="15" customHeight="1" x14ac:dyDescent="0.2">
      <c r="D21" s="283" t="s">
        <v>41</v>
      </c>
      <c r="E21" s="274"/>
      <c r="F21" s="275"/>
      <c r="G21" s="279">
        <f>'Adjustment scenario'!G77</f>
        <v>2.759875514069952</v>
      </c>
      <c r="H21" s="280">
        <f>'Adjustment scenario'!H77</f>
        <v>2.5687667028825922</v>
      </c>
      <c r="I21" s="280">
        <f>'Adjustment scenario'!I77</f>
        <v>2.340634312468505</v>
      </c>
      <c r="J21" s="280">
        <f>'Adjustment scenario'!J77</f>
        <v>2.2458497084091391</v>
      </c>
      <c r="K21" s="280">
        <f>'Adjustment scenario'!K77</f>
        <v>2.3958251611618433</v>
      </c>
      <c r="L21" s="280">
        <f>'Adjustment scenario'!L77</f>
        <v>2.2057319633235886</v>
      </c>
      <c r="M21" s="281">
        <f>'Adjustment scenario'!M77</f>
        <v>2.0237025566206333</v>
      </c>
      <c r="N21" s="256"/>
      <c r="P21" s="232"/>
      <c r="V21" s="387">
        <v>0.38</v>
      </c>
    </row>
    <row r="22" spans="4:22" ht="15" customHeight="1" x14ac:dyDescent="0.2">
      <c r="D22" s="283" t="s">
        <v>42</v>
      </c>
      <c r="E22" s="274"/>
      <c r="F22" s="275"/>
      <c r="G22" s="276">
        <f>'Adjustment scenario'!G78</f>
        <v>2.2056263889608996</v>
      </c>
      <c r="H22" s="277">
        <f>'Adjustment scenario'!H78</f>
        <v>2.199267035676634</v>
      </c>
      <c r="I22" s="277">
        <f>'Adjustment scenario'!I78</f>
        <v>2.2174717886256747</v>
      </c>
      <c r="J22" s="277">
        <f>'Adjustment scenario'!J78</f>
        <v>2.2458549558602972</v>
      </c>
      <c r="K22" s="277">
        <f>'Adjustment scenario'!K78</f>
        <v>2.3958304086130071</v>
      </c>
      <c r="L22" s="277">
        <f>'Adjustment scenario'!L78</f>
        <v>2.2057362184251428</v>
      </c>
      <c r="M22" s="282">
        <f>'Adjustment scenario'!M78</f>
        <v>2.0237068117221875</v>
      </c>
      <c r="N22" s="256"/>
      <c r="P22" s="232"/>
      <c r="V22" s="387">
        <v>0.4</v>
      </c>
    </row>
    <row r="23" spans="4:22" ht="15" customHeight="1" x14ac:dyDescent="0.2">
      <c r="D23" s="283" t="s">
        <v>43</v>
      </c>
      <c r="E23" s="274"/>
      <c r="F23" s="275"/>
      <c r="G23" s="237">
        <f>'Adjustment scenario'!G57</f>
        <v>65.467738950078513</v>
      </c>
      <c r="H23" s="238">
        <f>'Adjustment scenario'!H57</f>
        <v>59.99104804318636</v>
      </c>
      <c r="I23" s="238">
        <f>'Adjustment scenario'!I57</f>
        <v>55.344336413083951</v>
      </c>
      <c r="J23" s="238">
        <f>'Adjustment scenario'!J57</f>
        <v>50.929639670376446</v>
      </c>
      <c r="K23" s="238">
        <f>'Adjustment scenario'!K57</f>
        <v>46.496687645996076</v>
      </c>
      <c r="L23" s="238">
        <f>'Adjustment scenario'!L57</f>
        <v>42.459373869564104</v>
      </c>
      <c r="M23" s="241">
        <f>'Adjustment scenario'!M57</f>
        <v>38.775312732290459</v>
      </c>
      <c r="N23" s="256"/>
      <c r="P23" s="232"/>
      <c r="V23" s="387">
        <v>0.42</v>
      </c>
    </row>
    <row r="24" spans="4:22" ht="15" customHeight="1" x14ac:dyDescent="0.2">
      <c r="D24" s="439" t="s">
        <v>31</v>
      </c>
      <c r="E24" s="439"/>
      <c r="F24" s="439"/>
      <c r="G24" s="278">
        <f>AVERAGE(G19:J19)</f>
        <v>0</v>
      </c>
      <c r="I24" s="232"/>
      <c r="J24" s="232"/>
      <c r="K24" s="232"/>
      <c r="L24" s="232"/>
      <c r="M24" s="232"/>
      <c r="N24" s="232"/>
      <c r="P24" s="236"/>
      <c r="V24" s="387">
        <v>0.44</v>
      </c>
    </row>
    <row r="25" spans="4:22" x14ac:dyDescent="0.2">
      <c r="D25" s="242" t="s">
        <v>32</v>
      </c>
      <c r="E25" s="377"/>
      <c r="F25" s="376"/>
      <c r="G25" s="272">
        <f>IF(F5=4,AVERAGE(G19:J19),AVERAGE(G19:M19))</f>
        <v>0</v>
      </c>
      <c r="H25" s="232"/>
      <c r="Q25" s="231"/>
      <c r="V25" s="387">
        <v>0.46</v>
      </c>
    </row>
    <row r="26" spans="4:22" x14ac:dyDescent="0.2">
      <c r="D26" s="408" t="s">
        <v>33</v>
      </c>
      <c r="E26" s="409"/>
      <c r="F26" s="409"/>
      <c r="G26" s="374">
        <f>AVERAGE(G20:J20)</f>
        <v>4.9061015625</v>
      </c>
      <c r="Q26" s="231"/>
      <c r="V26" s="387">
        <v>0.48</v>
      </c>
    </row>
    <row r="27" spans="4:22" ht="15" customHeight="1" x14ac:dyDescent="0.2">
      <c r="D27" s="410" t="s">
        <v>34</v>
      </c>
      <c r="E27" s="411"/>
      <c r="F27" s="411"/>
      <c r="G27" s="375">
        <f>IF(F5=4,AVERAGE(G20:J20),AVERAGE(G20:M20))</f>
        <v>4.9061015625</v>
      </c>
      <c r="H27" s="232"/>
      <c r="I27" s="232"/>
      <c r="J27" s="232"/>
      <c r="K27" s="232"/>
      <c r="L27" s="232"/>
      <c r="M27" s="232"/>
      <c r="N27" s="232"/>
      <c r="O27" s="232"/>
      <c r="P27" s="232"/>
      <c r="V27" s="387">
        <v>0.5</v>
      </c>
    </row>
    <row r="28" spans="4:22" ht="53.25" customHeight="1" x14ac:dyDescent="0.2">
      <c r="D28" s="412" t="s">
        <v>291</v>
      </c>
      <c r="E28" s="412"/>
      <c r="F28" s="412"/>
      <c r="G28" s="412"/>
      <c r="H28" s="412"/>
      <c r="I28" s="412"/>
      <c r="J28" s="412"/>
      <c r="K28" s="233"/>
      <c r="L28" s="233"/>
      <c r="M28" s="233"/>
      <c r="N28" s="233"/>
      <c r="O28" s="233"/>
      <c r="V28" s="387">
        <v>0.52</v>
      </c>
    </row>
    <row r="29" spans="4:22" x14ac:dyDescent="0.2">
      <c r="V29" s="387">
        <v>0.54</v>
      </c>
    </row>
    <row r="30" spans="4:22" ht="15.75" customHeight="1" x14ac:dyDescent="0.2">
      <c r="G30" s="440" t="s">
        <v>169</v>
      </c>
      <c r="H30" s="441"/>
      <c r="V30" s="387">
        <v>0.56000000000000005</v>
      </c>
    </row>
    <row r="31" spans="4:22" x14ac:dyDescent="0.2">
      <c r="G31" s="199" t="s">
        <v>35</v>
      </c>
      <c r="H31" s="200" t="s">
        <v>36</v>
      </c>
      <c r="V31" s="387">
        <v>0.57999999999999996</v>
      </c>
    </row>
    <row r="32" spans="4:22" x14ac:dyDescent="0.2">
      <c r="D32" s="369" t="s">
        <v>281</v>
      </c>
      <c r="E32" s="204"/>
      <c r="F32" s="205"/>
      <c r="G32" s="210">
        <v>4</v>
      </c>
      <c r="H32" s="201">
        <v>7</v>
      </c>
      <c r="M32" s="271"/>
      <c r="V32" s="387">
        <v>0.6</v>
      </c>
    </row>
    <row r="33" spans="4:22" x14ac:dyDescent="0.2">
      <c r="D33" s="370" t="s">
        <v>37</v>
      </c>
      <c r="E33" s="206"/>
      <c r="F33" s="207"/>
      <c r="G33" s="211">
        <v>0</v>
      </c>
      <c r="H33" s="202">
        <v>0</v>
      </c>
      <c r="V33" s="387">
        <v>0.62</v>
      </c>
    </row>
    <row r="34" spans="4:22" x14ac:dyDescent="0.2">
      <c r="D34" s="371" t="s">
        <v>282</v>
      </c>
      <c r="E34" s="208"/>
      <c r="F34" s="209"/>
      <c r="G34" s="212">
        <v>86.920000076293945</v>
      </c>
      <c r="H34" s="203">
        <v>84.739999771118164</v>
      </c>
      <c r="V34" s="387">
        <v>0.64</v>
      </c>
    </row>
    <row r="35" spans="4:22" ht="40.15" customHeight="1" x14ac:dyDescent="0.2">
      <c r="D35" s="435" t="s">
        <v>189</v>
      </c>
      <c r="E35" s="435"/>
      <c r="F35" s="435"/>
      <c r="G35" s="435"/>
      <c r="H35" s="435"/>
      <c r="V35" s="387">
        <v>0.66</v>
      </c>
    </row>
    <row r="36" spans="4:22" x14ac:dyDescent="0.2">
      <c r="V36" s="387">
        <v>0.68</v>
      </c>
    </row>
    <row r="37" spans="4:22" ht="19.899999999999999" customHeight="1" x14ac:dyDescent="0.2">
      <c r="D37" s="227"/>
      <c r="E37" s="227"/>
      <c r="F37" s="227"/>
      <c r="H37" s="436" t="s">
        <v>264</v>
      </c>
      <c r="I37" s="437"/>
      <c r="J37" s="437"/>
      <c r="K37" s="437"/>
      <c r="L37" s="437"/>
      <c r="M37" s="437"/>
      <c r="N37" s="438"/>
      <c r="O37" s="257"/>
      <c r="V37" s="387">
        <v>0.7</v>
      </c>
    </row>
    <row r="38" spans="4:22" x14ac:dyDescent="0.2">
      <c r="D38" s="227"/>
      <c r="E38" s="227"/>
      <c r="F38" s="250"/>
      <c r="G38" s="309" t="s">
        <v>243</v>
      </c>
      <c r="H38" s="307">
        <v>2025</v>
      </c>
      <c r="I38" s="307">
        <v>2026</v>
      </c>
      <c r="J38" s="307">
        <v>2027</v>
      </c>
      <c r="K38" s="307">
        <v>2028</v>
      </c>
      <c r="L38" s="307">
        <v>2029</v>
      </c>
      <c r="M38" s="307">
        <v>2030</v>
      </c>
      <c r="N38" s="308">
        <v>2031</v>
      </c>
      <c r="V38" s="387">
        <v>0.72</v>
      </c>
    </row>
    <row r="39" spans="4:22" s="314" customFormat="1" ht="15" customHeight="1" x14ac:dyDescent="0.2">
      <c r="D39" s="442" t="s">
        <v>201</v>
      </c>
      <c r="E39" s="443"/>
      <c r="F39" s="444"/>
      <c r="G39" s="310"/>
      <c r="H39" s="315"/>
      <c r="I39" s="315"/>
      <c r="J39" s="315"/>
      <c r="K39" s="315"/>
      <c r="L39" s="315"/>
      <c r="M39" s="315"/>
      <c r="N39" s="316"/>
      <c r="U39" s="388"/>
      <c r="V39" s="389">
        <v>0.74</v>
      </c>
    </row>
    <row r="40" spans="4:22" s="314" customFormat="1" ht="15" customHeight="1" x14ac:dyDescent="0.2">
      <c r="D40" s="327" t="s">
        <v>30</v>
      </c>
      <c r="E40" s="328"/>
      <c r="F40" s="329"/>
      <c r="G40" s="313">
        <v>4.9061015625</v>
      </c>
      <c r="H40" s="323">
        <v>5.9135439999999999</v>
      </c>
      <c r="I40" s="323">
        <v>4.9674303750000002</v>
      </c>
      <c r="J40" s="323">
        <v>4.45550975</v>
      </c>
      <c r="K40" s="323">
        <v>4.2879221249999997</v>
      </c>
      <c r="L40" s="317"/>
      <c r="M40" s="317"/>
      <c r="N40" s="318"/>
      <c r="U40" s="388"/>
      <c r="V40" s="389">
        <v>0.76</v>
      </c>
    </row>
    <row r="41" spans="4:22" s="314" customFormat="1" ht="15" customHeight="1" x14ac:dyDescent="0.2">
      <c r="D41" s="429" t="s">
        <v>191</v>
      </c>
      <c r="E41" s="430"/>
      <c r="F41" s="431"/>
      <c r="G41" s="202">
        <v>0</v>
      </c>
      <c r="H41" s="319">
        <v>0</v>
      </c>
      <c r="I41" s="319">
        <v>0</v>
      </c>
      <c r="J41" s="319">
        <v>0</v>
      </c>
      <c r="K41" s="319">
        <v>0</v>
      </c>
      <c r="L41" s="319"/>
      <c r="M41" s="319"/>
      <c r="N41" s="320"/>
      <c r="U41" s="388"/>
      <c r="V41" s="389">
        <v>0.78</v>
      </c>
    </row>
    <row r="42" spans="4:22" s="314" customFormat="1" ht="15" customHeight="1" x14ac:dyDescent="0.2">
      <c r="D42" s="442" t="s">
        <v>202</v>
      </c>
      <c r="E42" s="443"/>
      <c r="F42" s="444"/>
      <c r="G42" s="312"/>
      <c r="H42" s="321"/>
      <c r="I42" s="321"/>
      <c r="J42" s="321"/>
      <c r="K42" s="321"/>
      <c r="L42" s="321"/>
      <c r="M42" s="321"/>
      <c r="N42" s="322"/>
      <c r="U42" s="388"/>
      <c r="V42" s="389">
        <v>0.8</v>
      </c>
    </row>
    <row r="43" spans="4:22" s="314" customFormat="1" ht="15" customHeight="1" x14ac:dyDescent="0.2">
      <c r="D43" s="327" t="s">
        <v>30</v>
      </c>
      <c r="E43" s="328"/>
      <c r="F43" s="329"/>
      <c r="G43" s="313">
        <v>4.9061015625</v>
      </c>
      <c r="H43" s="323">
        <v>5.9135439999999999</v>
      </c>
      <c r="I43" s="323">
        <v>4.9674303750000002</v>
      </c>
      <c r="J43" s="323">
        <v>4.45550975</v>
      </c>
      <c r="K43" s="323">
        <v>4.2879221249999997</v>
      </c>
      <c r="L43" s="323">
        <v>4.1255884999999992</v>
      </c>
      <c r="M43" s="323">
        <v>4.0615158749999996</v>
      </c>
      <c r="N43" s="324">
        <v>4.0313812499999999</v>
      </c>
      <c r="U43" s="388"/>
      <c r="V43" s="389">
        <v>0.82</v>
      </c>
    </row>
    <row r="44" spans="4:22" s="314" customFormat="1" ht="15" customHeight="1" x14ac:dyDescent="0.2">
      <c r="D44" s="432" t="s">
        <v>191</v>
      </c>
      <c r="E44" s="433"/>
      <c r="F44" s="434"/>
      <c r="G44" s="311">
        <v>0</v>
      </c>
      <c r="H44" s="325">
        <v>0</v>
      </c>
      <c r="I44" s="325">
        <v>0</v>
      </c>
      <c r="J44" s="325">
        <v>0</v>
      </c>
      <c r="K44" s="325">
        <v>0</v>
      </c>
      <c r="L44" s="325">
        <v>0</v>
      </c>
      <c r="M44" s="325">
        <v>0</v>
      </c>
      <c r="N44" s="326">
        <v>0</v>
      </c>
      <c r="U44" s="388"/>
      <c r="V44" s="389">
        <v>0.84</v>
      </c>
    </row>
    <row r="45" spans="4:22" x14ac:dyDescent="0.2">
      <c r="V45" s="387">
        <v>0.86</v>
      </c>
    </row>
    <row r="46" spans="4:22" x14ac:dyDescent="0.2">
      <c r="V46" s="387">
        <v>0.88</v>
      </c>
    </row>
    <row r="47" spans="4:22" x14ac:dyDescent="0.2">
      <c r="V47" s="387">
        <v>0.9</v>
      </c>
    </row>
    <row r="48" spans="4:22" x14ac:dyDescent="0.2">
      <c r="V48" s="387">
        <v>0.92</v>
      </c>
    </row>
    <row r="49" spans="22:22" x14ac:dyDescent="0.2">
      <c r="V49" s="387">
        <v>0.94</v>
      </c>
    </row>
    <row r="50" spans="22:22" x14ac:dyDescent="0.2">
      <c r="V50" s="387">
        <v>0.96</v>
      </c>
    </row>
    <row r="51" spans="22:22" x14ac:dyDescent="0.2">
      <c r="V51" s="387">
        <v>0.98</v>
      </c>
    </row>
    <row r="52" spans="22:22" x14ac:dyDescent="0.2">
      <c r="V52" s="387">
        <v>1</v>
      </c>
    </row>
    <row r="53" spans="22:22" x14ac:dyDescent="0.2">
      <c r="V53" s="387">
        <v>1.02</v>
      </c>
    </row>
    <row r="54" spans="22:22" x14ac:dyDescent="0.2">
      <c r="V54" s="387">
        <v>1.04</v>
      </c>
    </row>
    <row r="55" spans="22:22" x14ac:dyDescent="0.2">
      <c r="V55" s="387">
        <v>1.06</v>
      </c>
    </row>
    <row r="56" spans="22:22" x14ac:dyDescent="0.2">
      <c r="V56" s="387">
        <v>1.08</v>
      </c>
    </row>
    <row r="57" spans="22:22" x14ac:dyDescent="0.2">
      <c r="V57" s="387">
        <v>1.1000000000000001</v>
      </c>
    </row>
    <row r="58" spans="22:22" x14ac:dyDescent="0.2">
      <c r="V58" s="387">
        <v>1.1200000000000001</v>
      </c>
    </row>
    <row r="59" spans="22:22" x14ac:dyDescent="0.2">
      <c r="V59" s="387">
        <v>1.1399999999999999</v>
      </c>
    </row>
    <row r="60" spans="22:22" x14ac:dyDescent="0.2">
      <c r="V60" s="387">
        <v>1.1599999999999999</v>
      </c>
    </row>
    <row r="61" spans="22:22" x14ac:dyDescent="0.2">
      <c r="V61" s="387">
        <v>1.18</v>
      </c>
    </row>
    <row r="62" spans="22:22" x14ac:dyDescent="0.2">
      <c r="V62" s="387">
        <v>1.2</v>
      </c>
    </row>
    <row r="63" spans="22:22" x14ac:dyDescent="0.2">
      <c r="V63" s="387">
        <v>1.22</v>
      </c>
    </row>
    <row r="64" spans="22:22" x14ac:dyDescent="0.2">
      <c r="V64" s="387">
        <v>1.24</v>
      </c>
    </row>
    <row r="65" spans="22:22" x14ac:dyDescent="0.2">
      <c r="V65" s="387">
        <v>1.26</v>
      </c>
    </row>
    <row r="66" spans="22:22" x14ac:dyDescent="0.2">
      <c r="V66" s="387">
        <v>1.28</v>
      </c>
    </row>
    <row r="67" spans="22:22" x14ac:dyDescent="0.2">
      <c r="V67" s="387">
        <v>1.3</v>
      </c>
    </row>
    <row r="68" spans="22:22" x14ac:dyDescent="0.2">
      <c r="V68" s="387">
        <v>1.32</v>
      </c>
    </row>
    <row r="69" spans="22:22" x14ac:dyDescent="0.2">
      <c r="V69" s="387">
        <v>1.34</v>
      </c>
    </row>
    <row r="70" spans="22:22" x14ac:dyDescent="0.2">
      <c r="V70" s="387">
        <v>1.36</v>
      </c>
    </row>
    <row r="71" spans="22:22" x14ac:dyDescent="0.2">
      <c r="V71" s="387">
        <v>1.38</v>
      </c>
    </row>
    <row r="72" spans="22:22" x14ac:dyDescent="0.2">
      <c r="V72" s="387">
        <v>1.4</v>
      </c>
    </row>
    <row r="73" spans="22:22" x14ac:dyDescent="0.2">
      <c r="V73" s="387">
        <v>1.42</v>
      </c>
    </row>
    <row r="74" spans="22:22" x14ac:dyDescent="0.2">
      <c r="V74" s="387">
        <v>1.44</v>
      </c>
    </row>
    <row r="75" spans="22:22" x14ac:dyDescent="0.2">
      <c r="V75" s="387">
        <v>1.46</v>
      </c>
    </row>
    <row r="76" spans="22:22" x14ac:dyDescent="0.2">
      <c r="V76" s="387">
        <v>1.48</v>
      </c>
    </row>
    <row r="77" spans="22:22" x14ac:dyDescent="0.2">
      <c r="V77" s="387">
        <v>1.5</v>
      </c>
    </row>
    <row r="78" spans="22:22" x14ac:dyDescent="0.2">
      <c r="V78" s="387">
        <v>1.52</v>
      </c>
    </row>
    <row r="79" spans="22:22" x14ac:dyDescent="0.2">
      <c r="V79" s="387">
        <v>1.54</v>
      </c>
    </row>
    <row r="80" spans="22:22" x14ac:dyDescent="0.2">
      <c r="V80" s="387">
        <v>1.56</v>
      </c>
    </row>
    <row r="81" spans="22:22" x14ac:dyDescent="0.2">
      <c r="V81" s="387">
        <v>1.58</v>
      </c>
    </row>
    <row r="82" spans="22:22" x14ac:dyDescent="0.2">
      <c r="V82" s="387">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L18:N20 N21:N23">
    <cfRule type="expression" dxfId="43" priority="13">
      <formula>$F$5=4</formula>
    </cfRule>
  </conditionalFormatting>
  <conditionalFormatting sqref="K18:N23">
    <cfRule type="expression" dxfId="42" priority="12">
      <formula>$F$5=4</formula>
    </cfRule>
  </conditionalFormatting>
  <conditionalFormatting sqref="K18:K23">
    <cfRule type="expression" dxfId="41" priority="14">
      <formula>$F$5=4</formula>
    </cfRule>
  </conditionalFormatting>
  <conditionalFormatting sqref="L23:N23">
    <cfRule type="expression" dxfId="40" priority="4">
      <formula>$F$5=4</formula>
    </cfRule>
  </conditionalFormatting>
  <conditionalFormatting sqref="H3:I6">
    <cfRule type="expression" dxfId="39" priority="1">
      <formula>OR(AND($G$12="ok",$G$13="ok",$G$14="ok",$G$15="ok",$H$12="ok",$I$12="ok",$L$12&lt;&gt;"Not met"), AND($I$12="ok",$J$12="ok",$J$13="ok",$J$14="ok",$J$15="ok",$L$12&lt;&gt;"Not met"))</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7B6E5FE9-F40D-4CA4-B80F-338C503E3095}">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37" customWidth="1"/>
    <col min="2" max="2" width="58.42578125" style="137" customWidth="1"/>
    <col min="3" max="6" width="8.7109375" style="137" customWidth="1"/>
    <col min="7" max="16384" width="8.85546875" style="137"/>
  </cols>
  <sheetData>
    <row r="1" spans="1:54" s="60" customFormat="1" ht="24.75" customHeight="1" x14ac:dyDescent="0.2">
      <c r="B1" s="130"/>
    </row>
    <row r="2" spans="1:54" s="60" customFormat="1" ht="11.25" customHeight="1" x14ac:dyDescent="0.2">
      <c r="B2" s="131"/>
    </row>
    <row r="3" spans="1:54" s="60" customFormat="1" ht="11.25" customHeight="1" x14ac:dyDescent="0.2">
      <c r="B3" s="132" t="s">
        <v>15</v>
      </c>
      <c r="C3" s="133" t="s">
        <v>137</v>
      </c>
    </row>
    <row r="4" spans="1:54" s="60" customFormat="1" ht="11.25" customHeight="1" x14ac:dyDescent="0.2">
      <c r="B4" s="134"/>
      <c r="C4" s="23"/>
    </row>
    <row r="5" spans="1:54" s="60" customFormat="1" ht="11.25" customHeight="1" x14ac:dyDescent="0.2">
      <c r="B5" s="135" t="s">
        <v>170</v>
      </c>
      <c r="C5" s="23">
        <v>2024</v>
      </c>
    </row>
    <row r="6" spans="1:54" x14ac:dyDescent="0.2">
      <c r="A6" s="60"/>
      <c r="B6" s="136" t="s">
        <v>44</v>
      </c>
      <c r="C6" s="286">
        <f>C5+'Criteria results'!$F$5</f>
        <v>2028</v>
      </c>
    </row>
    <row r="8" spans="1:54" s="138" customFormat="1" ht="12" customHeight="1" x14ac:dyDescent="0.2">
      <c r="B8" s="139" t="s">
        <v>45</v>
      </c>
      <c r="C8" s="140"/>
      <c r="D8" s="140"/>
      <c r="E8" s="140"/>
      <c r="F8" s="140"/>
      <c r="G8" s="140"/>
      <c r="H8" s="140"/>
      <c r="I8" s="140"/>
      <c r="J8" s="140"/>
      <c r="K8" s="140"/>
      <c r="L8" s="140"/>
      <c r="M8" s="140"/>
      <c r="N8" s="140"/>
      <c r="O8" s="140"/>
    </row>
    <row r="9" spans="1:54" x14ac:dyDescent="0.2">
      <c r="B9" s="60"/>
      <c r="C9" s="141">
        <v>2021</v>
      </c>
      <c r="D9" s="141">
        <v>2022</v>
      </c>
      <c r="E9" s="141">
        <v>2023</v>
      </c>
      <c r="F9" s="141">
        <v>2024</v>
      </c>
      <c r="G9" s="141">
        <v>2025</v>
      </c>
      <c r="H9" s="141">
        <v>2026</v>
      </c>
      <c r="I9" s="141">
        <v>2027</v>
      </c>
      <c r="J9" s="141">
        <v>2028</v>
      </c>
      <c r="K9" s="141">
        <v>2029</v>
      </c>
      <c r="L9" s="141">
        <v>2030</v>
      </c>
      <c r="M9" s="141">
        <v>2031</v>
      </c>
      <c r="N9" s="141">
        <v>2032</v>
      </c>
      <c r="O9" s="141">
        <v>2033</v>
      </c>
      <c r="P9" s="141">
        <v>2034</v>
      </c>
      <c r="Q9" s="141">
        <v>2035</v>
      </c>
      <c r="R9" s="141">
        <v>2036</v>
      </c>
      <c r="S9" s="141">
        <v>2037</v>
      </c>
      <c r="T9" s="141">
        <v>2038</v>
      </c>
      <c r="U9" s="141">
        <v>2039</v>
      </c>
      <c r="V9" s="141">
        <v>2040</v>
      </c>
      <c r="W9" s="141">
        <v>2041</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s="142" customFormat="1" x14ac:dyDescent="0.2">
      <c r="B10" s="143" t="s">
        <v>46</v>
      </c>
      <c r="C10" s="144"/>
      <c r="D10" s="144"/>
      <c r="E10" s="144"/>
      <c r="F10" s="144"/>
      <c r="G10" s="144"/>
      <c r="H10" s="144"/>
      <c r="I10" s="144"/>
      <c r="J10" s="144"/>
      <c r="K10" s="144"/>
      <c r="L10" s="144"/>
      <c r="M10" s="144"/>
      <c r="N10" s="144"/>
      <c r="O10" s="144"/>
    </row>
    <row r="11" spans="1:54" x14ac:dyDescent="0.2">
      <c r="B11" s="145" t="s">
        <v>287</v>
      </c>
      <c r="C11" s="146"/>
      <c r="D11" s="146"/>
      <c r="E11" s="146"/>
      <c r="F11" s="146"/>
      <c r="G11" s="146"/>
      <c r="H11" s="146"/>
      <c r="I11" s="146"/>
      <c r="J11" s="146"/>
      <c r="K11" s="146"/>
      <c r="L11" s="146"/>
      <c r="M11" s="146"/>
      <c r="N11" s="146"/>
      <c r="O11" s="146"/>
    </row>
    <row r="12" spans="1:54" x14ac:dyDescent="0.2">
      <c r="A12" s="60"/>
      <c r="B12" s="60" t="s">
        <v>43</v>
      </c>
      <c r="C12" s="59">
        <v>99.250230000000002</v>
      </c>
      <c r="D12" s="147">
        <v>85.595280000000002</v>
      </c>
      <c r="E12" s="147">
        <v>77.284419999999997</v>
      </c>
      <c r="F12" s="147">
        <v>70.579920000000001</v>
      </c>
      <c r="G12" s="59" t="s">
        <v>47</v>
      </c>
      <c r="H12" s="59" t="s">
        <v>47</v>
      </c>
      <c r="I12" s="59" t="s">
        <v>47</v>
      </c>
      <c r="J12" s="59" t="s">
        <v>47</v>
      </c>
      <c r="K12" s="59" t="s">
        <v>47</v>
      </c>
      <c r="L12" s="59" t="s">
        <v>47</v>
      </c>
      <c r="M12" s="59" t="s">
        <v>47</v>
      </c>
      <c r="N12" s="59" t="s">
        <v>47</v>
      </c>
      <c r="O12" s="59" t="s">
        <v>47</v>
      </c>
    </row>
    <row r="13" spans="1:54" x14ac:dyDescent="0.2">
      <c r="A13" s="60"/>
      <c r="B13" s="60" t="s">
        <v>48</v>
      </c>
      <c r="C13" s="59">
        <v>-1.437066</v>
      </c>
      <c r="D13" s="147">
        <v>2.087558</v>
      </c>
      <c r="E13" s="147">
        <v>3.2270470000000002</v>
      </c>
      <c r="F13" s="147">
        <v>3.482405</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
      <c r="A14" s="60"/>
      <c r="B14" s="60" t="s">
        <v>49</v>
      </c>
      <c r="C14" s="59">
        <v>8.0633499999999997E-2</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
      <c r="A15" s="60"/>
      <c r="B15" s="60" t="s">
        <v>50</v>
      </c>
      <c r="C15" s="59">
        <v>-4.4074220000000004</v>
      </c>
      <c r="D15" s="147">
        <v>-0.74485959999999996</v>
      </c>
      <c r="E15" s="147">
        <v>0.60125580000000001</v>
      </c>
      <c r="F15" s="147">
        <v>0.99131420000000003</v>
      </c>
      <c r="G15" s="147">
        <v>1.300675</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
      <c r="A16" s="60"/>
      <c r="B16" s="60" t="s">
        <v>51</v>
      </c>
      <c r="C16" s="59">
        <v>-4.4074229999999996</v>
      </c>
      <c r="D16" s="147">
        <v>-0.74486079999999999</v>
      </c>
      <c r="E16" s="147">
        <v>0.60125799999999996</v>
      </c>
      <c r="F16" s="147">
        <v>0.99131349999999996</v>
      </c>
      <c r="G16" s="147">
        <v>1.300673</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
      <c r="A17" s="60"/>
      <c r="B17" s="365" t="s">
        <v>286</v>
      </c>
      <c r="C17" s="59"/>
      <c r="D17" s="367">
        <v>0</v>
      </c>
      <c r="E17" s="367">
        <v>0</v>
      </c>
      <c r="F17" s="367">
        <v>0</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
      <c r="A18" s="60"/>
      <c r="B18" s="60"/>
      <c r="C18" s="59"/>
      <c r="D18" s="59"/>
      <c r="E18" s="59"/>
      <c r="F18" s="59"/>
      <c r="G18" s="59"/>
      <c r="H18" s="59"/>
      <c r="I18" s="59"/>
      <c r="J18" s="59"/>
      <c r="K18" s="59"/>
      <c r="L18" s="59"/>
      <c r="M18" s="59"/>
      <c r="N18" s="59"/>
      <c r="O18" s="59"/>
    </row>
    <row r="19" spans="1:54" x14ac:dyDescent="0.2">
      <c r="A19" s="60"/>
      <c r="B19" s="145" t="s">
        <v>270</v>
      </c>
      <c r="C19" s="59"/>
      <c r="D19" s="59"/>
      <c r="E19" s="59"/>
      <c r="F19" s="59"/>
      <c r="G19" s="59"/>
      <c r="H19" s="59"/>
      <c r="I19" s="59"/>
      <c r="J19" s="59"/>
      <c r="K19" s="59"/>
      <c r="L19" s="59"/>
      <c r="M19" s="59"/>
      <c r="N19" s="59"/>
      <c r="O19" s="59"/>
    </row>
    <row r="20" spans="1:54" x14ac:dyDescent="0.2">
      <c r="A20" s="60"/>
      <c r="B20" s="60" t="s">
        <v>52</v>
      </c>
      <c r="C20" s="59">
        <f t="shared" ref="C20:T20" si="0">(C21+C22+C23+C24-C25)</f>
        <v>0</v>
      </c>
      <c r="D20" s="148">
        <f t="shared" si="0"/>
        <v>20.90879</v>
      </c>
      <c r="E20" s="148">
        <f t="shared" si="0"/>
        <v>21.00188</v>
      </c>
      <c r="F20" s="148">
        <f t="shared" si="0"/>
        <v>21.01275</v>
      </c>
      <c r="G20" s="148">
        <f t="shared" si="0"/>
        <v>21.349210000000006</v>
      </c>
      <c r="H20" s="148">
        <f t="shared" si="0"/>
        <v>21.616050000000001</v>
      </c>
      <c r="I20" s="148">
        <f t="shared" si="0"/>
        <v>21.792829999999999</v>
      </c>
      <c r="J20" s="148">
        <f t="shared" si="0"/>
        <v>21.931189999999997</v>
      </c>
      <c r="K20" s="148">
        <f t="shared" si="0"/>
        <v>21.810479999999998</v>
      </c>
      <c r="L20" s="148">
        <f t="shared" si="0"/>
        <v>22.04786</v>
      </c>
      <c r="M20" s="148">
        <f t="shared" si="0"/>
        <v>22.285779999999999</v>
      </c>
      <c r="N20" s="148">
        <f t="shared" si="0"/>
        <v>22.47654</v>
      </c>
      <c r="O20" s="148">
        <f t="shared" si="0"/>
        <v>22.706669999999999</v>
      </c>
      <c r="P20" s="148">
        <f t="shared" si="0"/>
        <v>22.857150000000004</v>
      </c>
      <c r="Q20" s="148">
        <f t="shared" si="0"/>
        <v>23.067840000000004</v>
      </c>
      <c r="R20" s="148">
        <f t="shared" si="0"/>
        <v>23.210700000000003</v>
      </c>
      <c r="S20" s="148">
        <f t="shared" si="0"/>
        <v>23.320980000000006</v>
      </c>
      <c r="T20" s="148">
        <f t="shared" si="0"/>
        <v>23.423589999999997</v>
      </c>
      <c r="U20" s="148">
        <f t="shared" ref="U20:W20" si="1">(U21+U22+U23+U24-U25)</f>
        <v>23.21922</v>
      </c>
      <c r="V20" s="148">
        <f t="shared" si="1"/>
        <v>23.402750000000005</v>
      </c>
      <c r="W20" s="148">
        <f t="shared" si="1"/>
        <v>23.416050000000002</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
      <c r="A21" s="60"/>
      <c r="B21" s="149" t="s">
        <v>53</v>
      </c>
      <c r="C21" s="59">
        <v>0</v>
      </c>
      <c r="D21" s="148">
        <v>8.2013600000000011</v>
      </c>
      <c r="E21" s="148">
        <v>8.307970000000001</v>
      </c>
      <c r="F21" s="148">
        <v>8.3611400000000007</v>
      </c>
      <c r="G21" s="148">
        <v>8.7071300000000011</v>
      </c>
      <c r="H21" s="148">
        <v>8.963989999999999</v>
      </c>
      <c r="I21" s="148">
        <v>9.120989999999999</v>
      </c>
      <c r="J21" s="148">
        <v>9.23386</v>
      </c>
      <c r="K21" s="148">
        <v>9.08155</v>
      </c>
      <c r="L21" s="148">
        <v>9.2903000000000002</v>
      </c>
      <c r="M21" s="148">
        <v>9.5006599999999999</v>
      </c>
      <c r="N21" s="148">
        <v>9.6533099999999994</v>
      </c>
      <c r="O21" s="148">
        <v>9.8494600000000005</v>
      </c>
      <c r="P21" s="148">
        <v>9.9640800000000009</v>
      </c>
      <c r="Q21" s="148">
        <v>10.13969</v>
      </c>
      <c r="R21" s="148">
        <v>10.246700000000001</v>
      </c>
      <c r="S21" s="148">
        <v>10.330880000000001</v>
      </c>
      <c r="T21" s="148">
        <v>10.41911</v>
      </c>
      <c r="U21" s="148">
        <v>10.215290000000001</v>
      </c>
      <c r="V21" s="148">
        <v>10.412850000000001</v>
      </c>
      <c r="W21" s="148">
        <v>10.444459999999999</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
      <c r="A22" s="60"/>
      <c r="B22" s="150" t="s">
        <v>54</v>
      </c>
      <c r="C22" s="59">
        <v>0</v>
      </c>
      <c r="D22" s="148">
        <v>7.4854199999999995</v>
      </c>
      <c r="E22" s="148">
        <v>7.4934799999999999</v>
      </c>
      <c r="F22" s="148">
        <v>7.51309</v>
      </c>
      <c r="G22" s="148">
        <v>7.5373300000000008</v>
      </c>
      <c r="H22" s="148">
        <v>7.5560100000000006</v>
      </c>
      <c r="I22" s="148">
        <v>7.5764100000000001</v>
      </c>
      <c r="J22" s="148">
        <v>7.5978199999999996</v>
      </c>
      <c r="K22" s="148">
        <v>7.6181700000000001</v>
      </c>
      <c r="L22" s="148">
        <v>7.6390899999999995</v>
      </c>
      <c r="M22" s="148">
        <v>7.6585399999999995</v>
      </c>
      <c r="N22" s="148">
        <v>7.6803999999999997</v>
      </c>
      <c r="O22" s="148">
        <v>7.7013999999999996</v>
      </c>
      <c r="P22" s="148">
        <v>7.7252699999999992</v>
      </c>
      <c r="Q22" s="148">
        <v>7.7485700000000008</v>
      </c>
      <c r="R22" s="148">
        <v>7.7743799999999998</v>
      </c>
      <c r="S22" s="148">
        <v>7.8003499999999999</v>
      </c>
      <c r="T22" s="148">
        <v>7.8267799999999994</v>
      </c>
      <c r="U22" s="148">
        <v>7.8539599999999998</v>
      </c>
      <c r="V22" s="148">
        <v>7.87866</v>
      </c>
      <c r="W22" s="148">
        <v>7.9043100000000006</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
      <c r="A23" s="60"/>
      <c r="B23" s="150" t="s">
        <v>55</v>
      </c>
      <c r="C23" s="59">
        <v>0</v>
      </c>
      <c r="D23" s="148">
        <v>0.19403000000000001</v>
      </c>
      <c r="E23" s="148">
        <v>0.1946</v>
      </c>
      <c r="F23" s="148">
        <v>0.19495999999999999</v>
      </c>
      <c r="G23" s="148">
        <v>0.1978</v>
      </c>
      <c r="H23" s="148">
        <v>0.20124999999999998</v>
      </c>
      <c r="I23" s="148">
        <v>0.20730000000000001</v>
      </c>
      <c r="J23" s="148">
        <v>0.21050000000000002</v>
      </c>
      <c r="K23" s="148">
        <v>0.21367</v>
      </c>
      <c r="L23" s="148">
        <v>0.21686000000000002</v>
      </c>
      <c r="M23" s="148">
        <v>0.22011999999999998</v>
      </c>
      <c r="N23" s="148">
        <v>0.22355</v>
      </c>
      <c r="O23" s="148">
        <v>0.22696</v>
      </c>
      <c r="P23" s="148">
        <v>0.23026000000000002</v>
      </c>
      <c r="Q23" s="148">
        <v>0.23359000000000002</v>
      </c>
      <c r="R23" s="148">
        <v>0.23684000000000002</v>
      </c>
      <c r="S23" s="148">
        <v>0.24011000000000002</v>
      </c>
      <c r="T23" s="148">
        <v>0.24334</v>
      </c>
      <c r="U23" s="148">
        <v>0.24645999999999998</v>
      </c>
      <c r="V23" s="148">
        <v>0.24941999999999998</v>
      </c>
      <c r="W23" s="148">
        <v>0.25224000000000002</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
      <c r="A24" s="60"/>
      <c r="B24" s="150" t="s">
        <v>56</v>
      </c>
      <c r="C24" s="59">
        <v>0</v>
      </c>
      <c r="D24" s="148">
        <v>5.0279800000000003</v>
      </c>
      <c r="E24" s="148">
        <v>5.0058299999999996</v>
      </c>
      <c r="F24" s="148">
        <v>4.9435600000000006</v>
      </c>
      <c r="G24" s="148">
        <v>4.9069500000000001</v>
      </c>
      <c r="H24" s="148">
        <v>4.8948</v>
      </c>
      <c r="I24" s="148">
        <v>4.8881300000000003</v>
      </c>
      <c r="J24" s="148">
        <v>4.8890099999999999</v>
      </c>
      <c r="K24" s="148">
        <v>4.8970899999999995</v>
      </c>
      <c r="L24" s="148">
        <v>4.9016099999999998</v>
      </c>
      <c r="M24" s="148">
        <v>4.90646</v>
      </c>
      <c r="N24" s="148">
        <v>4.9192800000000005</v>
      </c>
      <c r="O24" s="148">
        <v>4.9288499999999997</v>
      </c>
      <c r="P24" s="148">
        <v>4.9375400000000003</v>
      </c>
      <c r="Q24" s="148">
        <v>4.9459900000000001</v>
      </c>
      <c r="R24" s="148">
        <v>4.9527799999999997</v>
      </c>
      <c r="S24" s="148">
        <v>4.9496400000000005</v>
      </c>
      <c r="T24" s="148">
        <v>4.9343599999999999</v>
      </c>
      <c r="U24" s="148">
        <v>4.9035099999999998</v>
      </c>
      <c r="V24" s="148">
        <v>4.8618199999999998</v>
      </c>
      <c r="W24" s="148">
        <v>4.8150400000000007</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
      <c r="A25" s="60"/>
      <c r="B25" s="150" t="s">
        <v>57</v>
      </c>
      <c r="C25" s="59">
        <v>0</v>
      </c>
      <c r="D25" s="148">
        <v>0</v>
      </c>
      <c r="E25" s="148">
        <v>0</v>
      </c>
      <c r="F25" s="148">
        <v>0</v>
      </c>
      <c r="G25" s="148">
        <v>0</v>
      </c>
      <c r="H25" s="148">
        <v>0</v>
      </c>
      <c r="I25" s="148">
        <v>0</v>
      </c>
      <c r="J25" s="148">
        <v>0</v>
      </c>
      <c r="K25" s="148">
        <v>0</v>
      </c>
      <c r="L25" s="148">
        <v>0</v>
      </c>
      <c r="M25" s="148">
        <v>0</v>
      </c>
      <c r="N25" s="148">
        <v>0</v>
      </c>
      <c r="O25" s="148">
        <v>0</v>
      </c>
      <c r="P25" s="148">
        <v>0</v>
      </c>
      <c r="Q25" s="148">
        <v>0</v>
      </c>
      <c r="R25" s="148">
        <v>0</v>
      </c>
      <c r="S25" s="148">
        <v>0</v>
      </c>
      <c r="T25" s="148">
        <v>0</v>
      </c>
      <c r="U25" s="148">
        <v>0</v>
      </c>
      <c r="V25" s="148">
        <v>0</v>
      </c>
      <c r="W25" s="148">
        <v>0</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
      <c r="A26" s="60"/>
      <c r="B26" s="149" t="s">
        <v>58</v>
      </c>
      <c r="C26" s="59">
        <v>0.43526049999999999</v>
      </c>
      <c r="D26" s="148">
        <v>0.41113149999999998</v>
      </c>
      <c r="E26" s="148">
        <v>0.4049838</v>
      </c>
      <c r="F26" s="148">
        <v>0.39883610000000003</v>
      </c>
      <c r="G26" s="148">
        <v>0.3926885</v>
      </c>
      <c r="H26" s="148">
        <v>0.38654080000000002</v>
      </c>
      <c r="I26" s="148">
        <v>0.38039309999999998</v>
      </c>
      <c r="J26" s="148">
        <v>0.37424540000000001</v>
      </c>
      <c r="K26" s="148">
        <v>0.36809770000000003</v>
      </c>
      <c r="L26" s="148">
        <v>0.36194999999999999</v>
      </c>
      <c r="M26" s="148">
        <v>0.35580240000000002</v>
      </c>
      <c r="N26" s="148">
        <v>0.34965469999999998</v>
      </c>
      <c r="O26" s="148">
        <v>0.34350700000000001</v>
      </c>
      <c r="P26" s="148">
        <v>0.33735929999999997</v>
      </c>
      <c r="Q26" s="148">
        <v>0.33121159999999999</v>
      </c>
      <c r="R26" s="148">
        <v>0.32506390000000002</v>
      </c>
      <c r="S26" s="148">
        <v>0.31891629999999999</v>
      </c>
      <c r="T26" s="148">
        <v>0.31276860000000001</v>
      </c>
      <c r="U26" s="148">
        <v>0.30662089999999997</v>
      </c>
      <c r="V26" s="148">
        <v>0.3004732</v>
      </c>
      <c r="W26" s="148">
        <v>0.29432550000000002</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
      <c r="A27" s="60"/>
      <c r="B27" s="60"/>
      <c r="C27" s="60"/>
      <c r="D27" s="60"/>
      <c r="E27" s="60"/>
      <c r="F27" s="60"/>
      <c r="G27" s="60"/>
      <c r="H27" s="60"/>
      <c r="I27" s="60"/>
      <c r="J27" s="60"/>
      <c r="K27" s="60"/>
      <c r="L27" s="60"/>
      <c r="M27" s="60"/>
      <c r="N27" s="60"/>
      <c r="O27" s="60"/>
    </row>
    <row r="28" spans="1:54" s="142" customFormat="1" x14ac:dyDescent="0.2">
      <c r="A28" s="151"/>
      <c r="B28" s="143" t="s">
        <v>242</v>
      </c>
      <c r="C28" s="151"/>
      <c r="D28" s="151"/>
      <c r="E28" s="151"/>
      <c r="F28" s="151"/>
      <c r="G28" s="151"/>
      <c r="H28" s="151"/>
      <c r="I28" s="151"/>
      <c r="J28" s="151"/>
      <c r="K28" s="151"/>
      <c r="L28" s="151"/>
      <c r="M28" s="151"/>
      <c r="N28" s="151"/>
      <c r="O28" s="151"/>
    </row>
    <row r="29" spans="1:54" x14ac:dyDescent="0.2">
      <c r="A29" s="60"/>
      <c r="B29" s="145" t="s">
        <v>59</v>
      </c>
      <c r="C29" s="60"/>
      <c r="D29" s="60"/>
      <c r="E29" s="60"/>
      <c r="F29" s="60"/>
      <c r="G29" s="60"/>
      <c r="H29" s="60"/>
      <c r="I29" s="60"/>
      <c r="J29" s="60"/>
      <c r="K29" s="60"/>
      <c r="L29" s="60"/>
      <c r="M29" s="60"/>
      <c r="N29" s="60"/>
      <c r="O29" s="60"/>
    </row>
    <row r="30" spans="1:54" x14ac:dyDescent="0.2">
      <c r="A30" s="60"/>
      <c r="B30" s="60" t="s">
        <v>60</v>
      </c>
      <c r="C30" s="152">
        <v>9.9113959999999999</v>
      </c>
      <c r="D30" s="153">
        <v>5.0579340000000004</v>
      </c>
      <c r="E30" s="153">
        <v>2.4612370000000001</v>
      </c>
      <c r="F30" s="153">
        <v>2.7786170000000001</v>
      </c>
      <c r="G30" s="153">
        <v>3.0115460000000001</v>
      </c>
      <c r="H30" s="153">
        <v>2.198547</v>
      </c>
      <c r="I30" s="153">
        <v>1.541577</v>
      </c>
      <c r="J30" s="153">
        <v>1.5989310000000001</v>
      </c>
      <c r="K30" s="153">
        <v>1.6630259999999999</v>
      </c>
      <c r="L30" s="153">
        <v>1.5770960000000001</v>
      </c>
      <c r="M30" s="153">
        <v>1.5250999999999999</v>
      </c>
      <c r="N30" s="153">
        <v>1.499671</v>
      </c>
      <c r="O30" s="153">
        <v>1.472451</v>
      </c>
      <c r="P30" s="154">
        <v>1.5369170000000001</v>
      </c>
      <c r="Q30" s="154">
        <v>1.6013869999999999</v>
      </c>
      <c r="R30" s="154">
        <v>1.6658569999999999</v>
      </c>
      <c r="S30" s="154">
        <v>1.7527699999999999</v>
      </c>
      <c r="T30" s="154">
        <v>1.806942</v>
      </c>
      <c r="U30" s="154">
        <v>1.8724879999999999</v>
      </c>
      <c r="V30" s="154">
        <v>1.942307</v>
      </c>
      <c r="W30" s="154">
        <v>1.9095040000000001</v>
      </c>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54" x14ac:dyDescent="0.2">
      <c r="A31" s="60"/>
      <c r="B31" s="300" t="s">
        <v>200</v>
      </c>
      <c r="C31" s="152">
        <v>23.926369999999999</v>
      </c>
    </row>
    <row r="32" spans="1:54" x14ac:dyDescent="0.2">
      <c r="A32" s="60"/>
      <c r="B32" s="145"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
      <c r="A33" s="60"/>
      <c r="B33" s="60" t="s">
        <v>60</v>
      </c>
      <c r="C33" s="152">
        <v>3.5846399999999998</v>
      </c>
      <c r="D33" s="153">
        <v>3.3948489999999998</v>
      </c>
      <c r="E33" s="153">
        <v>4.0714319999999997</v>
      </c>
      <c r="F33" s="153">
        <v>3.746181</v>
      </c>
      <c r="G33" s="153">
        <v>3.5384190000000002</v>
      </c>
      <c r="H33" s="153">
        <v>2.570446</v>
      </c>
      <c r="I33" s="153">
        <v>2.0366659999999999</v>
      </c>
      <c r="J33" s="153">
        <v>1.8472189999999999</v>
      </c>
      <c r="K33" s="153">
        <v>1.6630259999999999</v>
      </c>
      <c r="L33" s="153">
        <v>1.577094</v>
      </c>
      <c r="M33" s="153">
        <v>1.5250999999999999</v>
      </c>
      <c r="N33" s="153">
        <v>1.499673</v>
      </c>
      <c r="O33" s="153">
        <v>1.4724489999999999</v>
      </c>
      <c r="P33" s="154">
        <v>1.5369189999999999</v>
      </c>
      <c r="Q33" s="154">
        <v>1.6013900000000001</v>
      </c>
      <c r="R33" s="154">
        <v>1.6658599999999999</v>
      </c>
      <c r="S33" s="154">
        <v>1.7527729999999999</v>
      </c>
      <c r="T33" s="154">
        <v>1.8069409999999999</v>
      </c>
      <c r="U33" s="154">
        <v>1.872484</v>
      </c>
      <c r="V33" s="154">
        <v>1.942307</v>
      </c>
      <c r="W33" s="154">
        <v>1.909505</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row>
    <row r="34" spans="1:54" x14ac:dyDescent="0.2">
      <c r="A34" s="60"/>
      <c r="B34" s="300" t="s">
        <v>200</v>
      </c>
      <c r="C34" s="152">
        <v>23.334579999999999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
      <c r="A35" s="60"/>
      <c r="B35" s="300"/>
      <c r="C35" s="15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2" customFormat="1" x14ac:dyDescent="0.2">
      <c r="A36" s="151"/>
      <c r="B36" s="143" t="s">
        <v>254</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row>
    <row r="37" spans="1:54" x14ac:dyDescent="0.2">
      <c r="A37" s="60"/>
      <c r="B37" s="60" t="s">
        <v>63</v>
      </c>
      <c r="C37" s="59">
        <v>1.716024</v>
      </c>
      <c r="D37" s="147">
        <v>1.648296</v>
      </c>
      <c r="E37" s="147">
        <v>1.80772</v>
      </c>
      <c r="F37" s="147">
        <v>1.9077200000000001</v>
      </c>
      <c r="G37" s="147">
        <v>1.9077200000000001</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
      <c r="A38" s="60"/>
      <c r="B38" s="149" t="s">
        <v>64</v>
      </c>
      <c r="D38" s="147">
        <v>0.35</v>
      </c>
      <c r="E38" s="147">
        <v>3.43</v>
      </c>
      <c r="F38" s="288">
        <v>3.5642079999999998</v>
      </c>
      <c r="G38" s="289">
        <v>2.8163749999999999</v>
      </c>
      <c r="H38" s="59"/>
    </row>
    <row r="39" spans="1:54" x14ac:dyDescent="0.2">
      <c r="A39" s="60"/>
      <c r="B39" s="149" t="s">
        <v>65</v>
      </c>
      <c r="D39" s="147">
        <v>2.96</v>
      </c>
      <c r="E39" s="147">
        <v>3.91</v>
      </c>
      <c r="F39" s="290">
        <v>3.3161689999999999</v>
      </c>
      <c r="G39" s="291">
        <v>3.3153579999999998</v>
      </c>
      <c r="H39" s="59"/>
    </row>
    <row r="40" spans="1:54" x14ac:dyDescent="0.2">
      <c r="A40" s="60"/>
      <c r="B40" s="150"/>
      <c r="C40" s="59"/>
      <c r="D40" s="59"/>
      <c r="E40" s="155"/>
      <c r="F40" s="287" t="s">
        <v>71</v>
      </c>
      <c r="G40" s="155"/>
      <c r="H40" s="155"/>
      <c r="I40" s="155"/>
      <c r="J40" s="155"/>
      <c r="K40" s="155"/>
      <c r="L40" s="155"/>
      <c r="M40" s="155"/>
      <c r="N40" s="155"/>
      <c r="O40" s="155"/>
      <c r="P40" s="155"/>
      <c r="Q40" s="155"/>
      <c r="R40" s="155"/>
      <c r="S40" s="155"/>
      <c r="T40" s="155"/>
      <c r="U40" s="155"/>
      <c r="V40" s="155"/>
      <c r="W40" s="155"/>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2" customFormat="1" x14ac:dyDescent="0.2">
      <c r="A41" s="151"/>
      <c r="B41" s="156" t="s">
        <v>255</v>
      </c>
      <c r="C41" s="157"/>
      <c r="D41" s="157"/>
      <c r="E41" s="157"/>
      <c r="F41" s="157"/>
      <c r="G41" s="158"/>
      <c r="H41" s="158"/>
      <c r="I41" s="158"/>
      <c r="J41" s="158"/>
      <c r="K41" s="158"/>
      <c r="L41" s="158"/>
      <c r="M41" s="158"/>
      <c r="N41" s="158"/>
      <c r="O41" s="158"/>
      <c r="P41" s="158"/>
      <c r="Q41" s="158"/>
      <c r="R41" s="158"/>
      <c r="S41" s="158"/>
      <c r="T41" s="158"/>
      <c r="U41" s="158"/>
      <c r="V41" s="158"/>
      <c r="W41" s="158"/>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row>
    <row r="42" spans="1:54" x14ac:dyDescent="0.2">
      <c r="A42" s="60"/>
      <c r="B42" s="60" t="s">
        <v>66</v>
      </c>
      <c r="C42" s="59">
        <v>2.685441</v>
      </c>
      <c r="D42" s="147">
        <v>6.0659559999999999</v>
      </c>
      <c r="E42" s="147">
        <v>4.7312440000000002</v>
      </c>
      <c r="F42" s="147">
        <v>3.7133859999999999</v>
      </c>
      <c r="G42" s="147">
        <v>2.3751250000000002</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
      <c r="A43" s="60"/>
    </row>
    <row r="44" spans="1:54" s="142" customFormat="1" x14ac:dyDescent="0.2">
      <c r="A44" s="151"/>
      <c r="B44" s="156" t="s">
        <v>256</v>
      </c>
      <c r="C44" s="157"/>
      <c r="D44" s="157"/>
      <c r="E44" s="157"/>
      <c r="F44" s="157"/>
      <c r="G44" s="158"/>
      <c r="H44" s="158"/>
      <c r="I44" s="158"/>
      <c r="J44" s="158"/>
      <c r="K44" s="158"/>
      <c r="L44" s="158"/>
      <c r="M44" s="158"/>
      <c r="N44" s="158"/>
      <c r="O44" s="158"/>
      <c r="P44" s="158"/>
      <c r="Q44" s="158"/>
      <c r="R44" s="158"/>
      <c r="S44" s="158"/>
      <c r="T44" s="158"/>
      <c r="U44" s="158"/>
      <c r="V44" s="158"/>
      <c r="W44" s="158"/>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row>
    <row r="45" spans="1:54" x14ac:dyDescent="0.2">
      <c r="A45" s="60"/>
      <c r="B45" s="60" t="s">
        <v>30</v>
      </c>
      <c r="C45" s="59">
        <v>6.1674338754383582</v>
      </c>
      <c r="D45" s="147">
        <v>7.9711163322024241</v>
      </c>
      <c r="E45" s="147">
        <v>11.892187700351846</v>
      </c>
      <c r="F45" s="147">
        <v>6.9571484833848753</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
      <c r="A46" s="60"/>
    </row>
    <row r="47" spans="1:54" s="138" customFormat="1" x14ac:dyDescent="0.2">
      <c r="A47" s="140"/>
      <c r="B47" s="139" t="s">
        <v>67</v>
      </c>
      <c r="C47" s="159"/>
      <c r="D47" s="159"/>
    </row>
    <row r="48" spans="1:54" x14ac:dyDescent="0.2">
      <c r="A48" s="60"/>
      <c r="B48" s="160"/>
      <c r="C48" s="59"/>
      <c r="D48" s="59"/>
      <c r="E48" s="301" t="s">
        <v>173</v>
      </c>
    </row>
    <row r="49" spans="1:5" x14ac:dyDescent="0.2">
      <c r="A49" s="60"/>
      <c r="B49" s="60" t="s">
        <v>68</v>
      </c>
      <c r="C49" s="63">
        <v>0.75</v>
      </c>
      <c r="D49" s="59"/>
      <c r="E49" s="60" t="s">
        <v>69</v>
      </c>
    </row>
    <row r="50" spans="1:5" x14ac:dyDescent="0.2">
      <c r="A50" s="60"/>
      <c r="B50" s="60" t="s">
        <v>257</v>
      </c>
      <c r="C50" s="59">
        <v>0.504</v>
      </c>
      <c r="D50" s="59"/>
      <c r="E50" s="60" t="s">
        <v>70</v>
      </c>
    </row>
    <row r="51" spans="1:5" x14ac:dyDescent="0.2">
      <c r="A51" s="60"/>
      <c r="B51" s="60"/>
      <c r="C51" s="59"/>
      <c r="D51" s="59"/>
    </row>
    <row r="52" spans="1:5" x14ac:dyDescent="0.2">
      <c r="A52" s="60"/>
      <c r="B52" s="149" t="s">
        <v>246</v>
      </c>
      <c r="C52" s="161">
        <v>3.8461500000000002</v>
      </c>
      <c r="D52" s="59"/>
      <c r="E52" s="60" t="s">
        <v>71</v>
      </c>
    </row>
    <row r="53" spans="1:5" x14ac:dyDescent="0.2">
      <c r="A53" s="60"/>
      <c r="B53" s="149" t="s">
        <v>247</v>
      </c>
      <c r="C53" s="161">
        <v>2.7260900000000001</v>
      </c>
      <c r="D53" s="59"/>
      <c r="E53" s="60" t="s">
        <v>71</v>
      </c>
    </row>
    <row r="54" spans="1:5" x14ac:dyDescent="0.2">
      <c r="A54" s="60"/>
      <c r="B54" s="149" t="s">
        <v>248</v>
      </c>
      <c r="C54" s="147">
        <v>4</v>
      </c>
      <c r="D54" s="59"/>
      <c r="E54" s="60" t="s">
        <v>72</v>
      </c>
    </row>
    <row r="55" spans="1:5" x14ac:dyDescent="0.2">
      <c r="A55" s="60"/>
      <c r="B55" s="149" t="s">
        <v>249</v>
      </c>
      <c r="C55" s="147">
        <v>2</v>
      </c>
      <c r="D55" s="59"/>
      <c r="E55" s="60" t="s">
        <v>72</v>
      </c>
    </row>
    <row r="56" spans="1:5" x14ac:dyDescent="0.2">
      <c r="A56" s="60"/>
      <c r="B56" s="149"/>
      <c r="C56" s="59"/>
      <c r="D56" s="59"/>
    </row>
    <row r="57" spans="1:5" x14ac:dyDescent="0.2">
      <c r="A57" s="60"/>
      <c r="B57" s="60" t="s">
        <v>73</v>
      </c>
      <c r="C57" s="152">
        <v>1.2781600000000001E-2</v>
      </c>
      <c r="D57" s="197"/>
      <c r="E57" s="300" t="s">
        <v>174</v>
      </c>
    </row>
    <row r="58" spans="1:5" x14ac:dyDescent="0.2">
      <c r="A58" s="60"/>
      <c r="B58" s="60" t="s">
        <v>74</v>
      </c>
      <c r="C58" s="34">
        <f>1-C57</f>
        <v>0.98721840000000005</v>
      </c>
      <c r="E58" s="300" t="s">
        <v>174</v>
      </c>
    </row>
    <row r="59" spans="1:5" x14ac:dyDescent="0.2">
      <c r="A59" s="60"/>
      <c r="B59" s="60" t="s">
        <v>250</v>
      </c>
      <c r="C59" s="152">
        <v>6.8681389999999995E-2</v>
      </c>
      <c r="E59" s="300" t="s">
        <v>175</v>
      </c>
    </row>
    <row r="60" spans="1:5" x14ac:dyDescent="0.2">
      <c r="A60" s="60"/>
      <c r="B60" s="60"/>
      <c r="C60" s="152"/>
    </row>
    <row r="61" spans="1:5" x14ac:dyDescent="0.2">
      <c r="A61" s="60"/>
      <c r="B61" s="60" t="s">
        <v>251</v>
      </c>
      <c r="C61" s="162">
        <v>2.5499999999999998</v>
      </c>
      <c r="E61" s="60" t="s">
        <v>75</v>
      </c>
    </row>
    <row r="62" spans="1:5" x14ac:dyDescent="0.2">
      <c r="A62" s="60"/>
      <c r="B62" s="60" t="s">
        <v>252</v>
      </c>
      <c r="C62" s="152">
        <v>2</v>
      </c>
      <c r="E62" s="60" t="s">
        <v>76</v>
      </c>
    </row>
    <row r="63" spans="1:5" x14ac:dyDescent="0.2">
      <c r="A63" s="60"/>
      <c r="B63" s="60"/>
      <c r="C63" s="152"/>
      <c r="E63" s="60"/>
    </row>
    <row r="64" spans="1:5" x14ac:dyDescent="0.2">
      <c r="A64" s="60"/>
      <c r="B64" s="60" t="s">
        <v>245</v>
      </c>
      <c r="C64" s="147">
        <v>39.048176497987647</v>
      </c>
      <c r="E64" s="60" t="s">
        <v>241</v>
      </c>
    </row>
    <row r="65" spans="1:7" x14ac:dyDescent="0.2">
      <c r="A65" s="60"/>
      <c r="B65" s="60"/>
      <c r="C65" s="152"/>
      <c r="E65" s="60"/>
    </row>
    <row r="66" spans="1:7" x14ac:dyDescent="0.2">
      <c r="A66" s="60"/>
      <c r="B66" s="60" t="s">
        <v>77</v>
      </c>
      <c r="C66" s="166">
        <v>0.94139863786881706</v>
      </c>
      <c r="D66" s="1"/>
      <c r="E66" s="60" t="s">
        <v>78</v>
      </c>
    </row>
    <row r="67" spans="1:7" x14ac:dyDescent="0.2">
      <c r="A67" s="60"/>
      <c r="B67" s="299" t="s">
        <v>176</v>
      </c>
      <c r="C67" s="166">
        <v>4.7445571765172098E-2</v>
      </c>
      <c r="D67" s="1"/>
      <c r="E67" s="60" t="s">
        <v>78</v>
      </c>
    </row>
    <row r="68" spans="1:7" x14ac:dyDescent="0.2">
      <c r="A68" s="60"/>
      <c r="B68" s="299" t="s">
        <v>177</v>
      </c>
      <c r="C68" s="166">
        <v>1.1155803217186741E-2</v>
      </c>
      <c r="D68" s="1"/>
      <c r="E68" s="60" t="s">
        <v>78</v>
      </c>
    </row>
    <row r="69" spans="1:7" x14ac:dyDescent="0.2">
      <c r="A69" s="60"/>
      <c r="B69" s="149" t="s">
        <v>79</v>
      </c>
      <c r="C69" s="166">
        <v>0</v>
      </c>
      <c r="D69" s="1"/>
      <c r="E69" s="60" t="s">
        <v>78</v>
      </c>
    </row>
    <row r="70" spans="1:7" x14ac:dyDescent="0.2">
      <c r="A70" s="60"/>
      <c r="B70" s="149" t="s">
        <v>80</v>
      </c>
      <c r="C70" s="166">
        <v>0</v>
      </c>
      <c r="D70" s="1"/>
      <c r="E70" s="60" t="s">
        <v>78</v>
      </c>
    </row>
    <row r="71" spans="1:7" x14ac:dyDescent="0.2">
      <c r="A71" s="60"/>
      <c r="B71" s="149"/>
      <c r="C71" s="59"/>
      <c r="E71" s="60"/>
    </row>
    <row r="72" spans="1:7" s="138" customFormat="1" x14ac:dyDescent="0.2">
      <c r="B72" s="139" t="s">
        <v>81</v>
      </c>
      <c r="C72" s="159"/>
      <c r="D72" s="159"/>
    </row>
    <row r="73" spans="1:7" x14ac:dyDescent="0.2">
      <c r="B73" s="163"/>
      <c r="C73" s="164" t="s">
        <v>82</v>
      </c>
      <c r="D73" s="164" t="s">
        <v>83</v>
      </c>
      <c r="E73" s="165" t="s">
        <v>84</v>
      </c>
      <c r="F73" s="165" t="s">
        <v>85</v>
      </c>
      <c r="G73" s="165" t="s">
        <v>86</v>
      </c>
    </row>
    <row r="74" spans="1:7" x14ac:dyDescent="0.2">
      <c r="A74" s="60"/>
      <c r="B74" s="300" t="s">
        <v>178</v>
      </c>
      <c r="C74" s="34">
        <v>-9.8535919189453125</v>
      </c>
      <c r="D74" s="34">
        <v>-13.779949188232422</v>
      </c>
      <c r="E74" s="34">
        <v>-16.905801773071289</v>
      </c>
      <c r="F74" s="34">
        <v>-18.854045867919922</v>
      </c>
      <c r="G74" s="34">
        <v>-21.105369567871094</v>
      </c>
    </row>
    <row r="75" spans="1:7" x14ac:dyDescent="0.2">
      <c r="A75" s="60"/>
      <c r="B75" s="300" t="s">
        <v>179</v>
      </c>
      <c r="C75" s="34">
        <v>-4.0127677917480469</v>
      </c>
      <c r="D75" s="34">
        <v>-5.9514732360839844</v>
      </c>
      <c r="E75" s="34">
        <v>-6.8947296142578125</v>
      </c>
      <c r="F75" s="34">
        <v>-7.9308128356933594</v>
      </c>
      <c r="G75" s="34">
        <v>-8.6941871643066406</v>
      </c>
    </row>
    <row r="76" spans="1:7" x14ac:dyDescent="0.2">
      <c r="A76" s="60"/>
      <c r="B76" s="300" t="s">
        <v>180</v>
      </c>
      <c r="C76" s="34">
        <v>3.9778518676757813</v>
      </c>
      <c r="D76" s="34">
        <v>5.6573677062988281</v>
      </c>
      <c r="E76" s="34">
        <v>6.733612060546875</v>
      </c>
      <c r="F76" s="34">
        <v>7.7404136657714844</v>
      </c>
      <c r="G76" s="34">
        <v>8.8483848571777344</v>
      </c>
    </row>
    <row r="77" spans="1:7" x14ac:dyDescent="0.2">
      <c r="A77" s="60"/>
      <c r="B77" s="300" t="s">
        <v>181</v>
      </c>
      <c r="C77" s="34">
        <v>9.866790771484375</v>
      </c>
      <c r="D77" s="34">
        <v>13.707725524902344</v>
      </c>
      <c r="E77" s="34">
        <v>16.840080261230469</v>
      </c>
      <c r="F77" s="34">
        <v>19.371791839599609</v>
      </c>
      <c r="G77" s="34">
        <v>21.561607360839844</v>
      </c>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CY</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-1.437066</v>
      </c>
      <c r="D12" s="1">
        <f>'Input data'!D13</f>
        <v>2.087558</v>
      </c>
      <c r="E12" s="2">
        <f>'Input data'!E13</f>
        <v>3.2270470000000002</v>
      </c>
      <c r="F12" s="2">
        <f>'Input data'!F13</f>
        <v>3.482405</v>
      </c>
      <c r="G12" s="1">
        <f>F12</f>
        <v>3.482405</v>
      </c>
      <c r="H12" s="1">
        <f t="shared" ref="H12:W12" si="0">G12</f>
        <v>3.482405</v>
      </c>
      <c r="I12" s="1">
        <f t="shared" si="0"/>
        <v>3.482405</v>
      </c>
      <c r="J12" s="1">
        <f t="shared" si="0"/>
        <v>3.482405</v>
      </c>
      <c r="K12" s="1">
        <f t="shared" si="0"/>
        <v>3.482405</v>
      </c>
      <c r="L12" s="1">
        <f t="shared" si="0"/>
        <v>3.482405</v>
      </c>
      <c r="M12" s="1">
        <f t="shared" si="0"/>
        <v>3.482405</v>
      </c>
      <c r="N12" s="1">
        <f t="shared" si="0"/>
        <v>3.482405</v>
      </c>
      <c r="O12" s="1">
        <f t="shared" si="0"/>
        <v>3.482405</v>
      </c>
      <c r="P12" s="1">
        <f t="shared" si="0"/>
        <v>3.482405</v>
      </c>
      <c r="Q12" s="1">
        <f t="shared" si="0"/>
        <v>3.482405</v>
      </c>
      <c r="R12" s="1">
        <f t="shared" si="0"/>
        <v>3.482405</v>
      </c>
      <c r="S12" s="1">
        <f t="shared" si="0"/>
        <v>3.482405</v>
      </c>
      <c r="T12" s="1">
        <f t="shared" si="0"/>
        <v>3.482405</v>
      </c>
      <c r="U12" s="1">
        <f t="shared" si="0"/>
        <v>3.482405</v>
      </c>
      <c r="V12" s="1">
        <f t="shared" si="0"/>
        <v>3.482405</v>
      </c>
      <c r="W12" s="1">
        <f t="shared" si="0"/>
        <v>3.482405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8.0633499999999997E-2</v>
      </c>
      <c r="D13" s="1">
        <f>'Input data'!D14</f>
        <v>0</v>
      </c>
      <c r="E13" s="2">
        <f>'Input data'!E14</f>
        <v>0</v>
      </c>
      <c r="F13" s="2">
        <f>'Input data'!F14</f>
        <v>0</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-4.4074220000000004</v>
      </c>
      <c r="D14" s="1">
        <f>'Input data'!D15</f>
        <v>-0.74485959999999996</v>
      </c>
      <c r="E14" s="2">
        <f>'Input data'!E15</f>
        <v>0.60125580000000001</v>
      </c>
      <c r="F14" s="2">
        <f>'Input data'!F15</f>
        <v>0.99131420000000003</v>
      </c>
      <c r="G14" s="2">
        <f>'Input data'!G15</f>
        <v>1.300675</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20.90879</v>
      </c>
      <c r="E17" s="101">
        <f>'Input data'!E20</f>
        <v>21.00188</v>
      </c>
      <c r="F17" s="101">
        <f>'Input data'!F20</f>
        <v>21.01275</v>
      </c>
      <c r="G17" s="101">
        <f>'Input data'!G20</f>
        <v>21.349210000000006</v>
      </c>
      <c r="H17" s="101">
        <f>'Input data'!H20</f>
        <v>21.616050000000001</v>
      </c>
      <c r="I17" s="101">
        <f>'Input data'!I20</f>
        <v>21.792829999999999</v>
      </c>
      <c r="J17" s="101">
        <f>'Input data'!J20</f>
        <v>21.931189999999997</v>
      </c>
      <c r="K17" s="101">
        <f>'Input data'!K20</f>
        <v>21.810479999999998</v>
      </c>
      <c r="L17" s="101">
        <f>'Input data'!L20</f>
        <v>22.04786</v>
      </c>
      <c r="M17" s="101">
        <f>'Input data'!M20</f>
        <v>22.285779999999999</v>
      </c>
      <c r="N17" s="101">
        <f>'Input data'!N20</f>
        <v>22.47654</v>
      </c>
      <c r="O17" s="101">
        <f>'Input data'!O20</f>
        <v>22.706669999999999</v>
      </c>
      <c r="P17" s="101">
        <f>'Input data'!P20</f>
        <v>22.857150000000004</v>
      </c>
      <c r="Q17" s="101">
        <f>'Input data'!Q20</f>
        <v>23.067840000000004</v>
      </c>
      <c r="R17" s="101">
        <f>'Input data'!R20</f>
        <v>23.210700000000003</v>
      </c>
      <c r="S17" s="101">
        <f>'Input data'!S20</f>
        <v>23.320980000000006</v>
      </c>
      <c r="T17" s="101">
        <f>'Input data'!T20</f>
        <v>23.423589999999997</v>
      </c>
      <c r="U17" s="101">
        <f>'Input data'!U20</f>
        <v>23.21922</v>
      </c>
      <c r="V17" s="101">
        <f>'Input data'!V20</f>
        <v>23.402750000000005</v>
      </c>
      <c r="W17" s="101">
        <f>'Input data'!W20</f>
        <v>23.416050000000002</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0.43526049999999999</v>
      </c>
      <c r="D18" s="1">
        <f>'Input data'!D26</f>
        <v>0.41113149999999998</v>
      </c>
      <c r="E18" s="101">
        <f>'Input data'!E26</f>
        <v>0.4049838</v>
      </c>
      <c r="F18" s="101">
        <f>'Input data'!F26</f>
        <v>0.39883610000000003</v>
      </c>
      <c r="G18" s="101">
        <f>'Input data'!G26</f>
        <v>0.3926885</v>
      </c>
      <c r="H18" s="101">
        <f>'Input data'!H26</f>
        <v>0.38654080000000002</v>
      </c>
      <c r="I18" s="101">
        <f>'Input data'!I26</f>
        <v>0.38039309999999998</v>
      </c>
      <c r="J18" s="101">
        <f>'Input data'!J26</f>
        <v>0.37424540000000001</v>
      </c>
      <c r="K18" s="101">
        <f>'Input data'!K26</f>
        <v>0.36809770000000003</v>
      </c>
      <c r="L18" s="101">
        <f>'Input data'!L26</f>
        <v>0.36194999999999999</v>
      </c>
      <c r="M18" s="101">
        <f>'Input data'!M26</f>
        <v>0.35580240000000002</v>
      </c>
      <c r="N18" s="101">
        <f>'Input data'!N26</f>
        <v>0.34965469999999998</v>
      </c>
      <c r="O18" s="101">
        <f>'Input data'!O26</f>
        <v>0.34350700000000001</v>
      </c>
      <c r="P18" s="101">
        <f>'Input data'!P26</f>
        <v>0.33735929999999997</v>
      </c>
      <c r="Q18" s="101">
        <f>'Input data'!Q26</f>
        <v>0.33121159999999999</v>
      </c>
      <c r="R18" s="101">
        <f>'Input data'!R26</f>
        <v>0.32506390000000002</v>
      </c>
      <c r="S18" s="101">
        <f>'Input data'!S26</f>
        <v>0.31891629999999999</v>
      </c>
      <c r="T18" s="101">
        <f>'Input data'!T26</f>
        <v>0.31276860000000001</v>
      </c>
      <c r="U18" s="101">
        <f>'Input data'!U26</f>
        <v>0.30662089999999997</v>
      </c>
      <c r="V18" s="101">
        <f>'Input data'!V26</f>
        <v>0.3004732</v>
      </c>
      <c r="W18" s="101">
        <f>'Input data'!W26</f>
        <v>0.29432550000000002</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23.926369999999999</v>
      </c>
      <c r="D22" s="34">
        <f>C22*(D23/100+1)</f>
        <v>25.136550003195801</v>
      </c>
      <c r="E22" s="100">
        <f t="shared" ref="E22:F22" si="1">D22*(E23/100+1)</f>
        <v>25.755220072397957</v>
      </c>
      <c r="F22" s="100">
        <f t="shared" si="1"/>
        <v>26.470858995717016</v>
      </c>
      <c r="G22" s="100">
        <f>F22*(G23/100+1)</f>
        <v>27.268041090968172</v>
      </c>
      <c r="H22" s="34">
        <f>IF(AND(H49&gt;1,G49&gt;1),IF(AND(H49&gt;0,G49&gt;0),H26*(H50/100+1),0)+IF(H49&gt;0,G22*(1+H51/100),0)-G22*(1+'Input data'!H30/100),IF(H49=1,H26,G22*(1+H51/100)))</f>
        <v>27.867541790332417</v>
      </c>
      <c r="I22" s="34">
        <f>IF(AND(I49&gt;1,H49&gt;1),IF(AND(I49&gt;0,H49&gt;0),I26*(I50/100+1),0)+IF(I49&gt;0,H22*(1+I51/100),0)-H22*(1+'Input data'!I30/100),IF(I49=1,I26,H22*(1+I51/100)))</f>
        <v>28.297141405037568</v>
      </c>
      <c r="J22" s="34">
        <f>IF(AND(J49&gt;1,I49&gt;1),IF(AND(J49&gt;0,I49&gt;0),J26*(J50/100+1),0)+IF(J49&gt;0,I22*(1+J51/100),0)-I22*(1+'Input data'!J30/100),IF(J49=1,J26,I22*(1+J51/100)))</f>
        <v>28.749593171076548</v>
      </c>
      <c r="K22" s="34">
        <f>IF(AND(K49&gt;1,J49&gt;1),IF(AND(K49&gt;0,J49&gt;0),K26*(K50/100+1),0)+IF(K49&gt;0,J22*(1+K51/100),0)-J22*(1+'Input data'!K30/100),IF(K49=1,K26,J22*(1+K51/100)))</f>
        <v>29.22770638040577</v>
      </c>
      <c r="L22" s="34">
        <f>IF(AND(L49&gt;1,K49&gt;1),IF(AND(L49&gt;0,K49&gt;0),L26*(L50/100+1),0)+IF(L49&gt;0,K22*(1+L51/100),0)-K22*(1+'Input data'!L30/100),IF(L49=1,L26,K22*(1+L51/100)))</f>
        <v>29.688655368622893</v>
      </c>
      <c r="M22" s="34">
        <f>IF(AND(M49&gt;1,L49&gt;1),IF(AND(M49&gt;0,L49&gt;0),M26*(M50/100+1),0)+IF(M49&gt;0,L22*(1+M51/100),0)-L22*(1+'Input data'!M30/100),IF(M49=1,M26,L22*(1+M51/100)))</f>
        <v>30.141437051649756</v>
      </c>
      <c r="N22" s="34">
        <f>IF(AND(N49&gt;1,M49&gt;1),IF(AND(N49&gt;0,M49&gt;0),N26*(N50/100+1),0)+IF(N49&gt;0,M22*(1+N51/100),0)-M22*(1+'Input data'!N30/100),IF(N49=1,N26,M22*(1+N51/100)))</f>
        <v>30.593459442096599</v>
      </c>
      <c r="O22" s="34">
        <f>IF(AND(O49&gt;1,N49&gt;1),IF(AND(O49&gt;0,N49&gt;0),O26*(O50/100+1),0)+IF(O49&gt;0,N22*(1+O51/100),0)-N22*(1+'Input data'!O30/100),IF(O49=1,O26,N22*(1+O51/100)))</f>
        <v>31.043933141586344</v>
      </c>
      <c r="P22" s="34">
        <f>IF(AND(P49&gt;1,O49&gt;1),IF(AND(P49&gt;0,O49&gt;0),P26*(P50/100+1),0)+IF(P49&gt;0,O22*(1+P51/100),0)-O22*(1+'Input data'!P30/100),IF(P49=1,P26,O22*(1+P51/100)))</f>
        <v>31.52105262750802</v>
      </c>
      <c r="Q22" s="34">
        <f>IF(AND(Q49&gt;1,P49&gt;1),IF(AND(Q49&gt;0,P49&gt;0),Q26*(Q50/100+1),0)+IF(Q49&gt;0,P22*(1+Q51/100),0)-P22*(1+'Input data'!Q30/100),IF(Q49=1,Q26,P22*(1+Q51/100)))</f>
        <v>32.025826666548092</v>
      </c>
      <c r="R22" s="34">
        <f>IF(AND(R49&gt;1,Q49&gt;1),IF(AND(R49&gt;0,Q49&gt;0),R26*(R50/100+1),0)+IF(R49&gt;0,Q22*(1+R51/100),0)-Q22*(1+'Input data'!R30/100),IF(R49=1,R26,Q22*(1+R51/100)))</f>
        <v>32.559331141880648</v>
      </c>
      <c r="S22" s="34">
        <f>IF(AND(S49&gt;1,R49&gt;1),IF(AND(S49&gt;0,R49&gt;0),S26*(S50/100+1),0)+IF(S49&gt;0,R22*(1+S51/100),0)-R22*(1+'Input data'!S30/100),IF(S49=1,S26,R22*(1+S51/100)))</f>
        <v>33.130021330336191</v>
      </c>
      <c r="T22" s="34">
        <f>IF(AND(T49&gt;1,S49&gt;1),IF(AND(T49&gt;0,S49&gt;0),T26*(T50/100+1),0)+IF(T49&gt;0,S22*(1+T51/100),0)-S22*(1+'Input data'!T30/100),IF(T49=1,T26,S22*(1+T51/100)))</f>
        <v>33.728661600362997</v>
      </c>
      <c r="U22" s="34">
        <f>IF(AND(U49&gt;1,T49&gt;1),IF(AND(U49&gt;0,T49&gt;0),U26*(U50/100+1),0)+IF(U49&gt;0,T22*(1+U51/100),0)-T22*(1+'Input data'!U30/100),IF(U49=1,U26,T22*(1+U51/100)))</f>
        <v>34.360226741390399</v>
      </c>
      <c r="V22" s="34">
        <f>IF(AND(V49&gt;1,U49&gt;1),IF(AND(V49&gt;0,U49&gt;0),V26*(V50/100+1),0)+IF(V49&gt;0,U22*(1+V51/100),0)-U22*(1+'Input data'!V30/100),IF(V49=1,V26,U22*(1+V51/100)))</f>
        <v>35.027607830604296</v>
      </c>
      <c r="W22" s="34">
        <f>IF(AND(W49&gt;1,V49&gt;1),IF(AND(W49&gt;0,V49&gt;0),W26*(W50/100+1),0)+IF(W49&gt;0,V22*(1+W51/100),0)-V22*(1+'Input data'!W30/100),IF(W49=1,W26,V22*(1+W51/100)))</f>
        <v>35.696461403234004</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9.9113959999999999</v>
      </c>
      <c r="D23" s="34">
        <f>+'Input data'!D30</f>
        <v>5.0579340000000004</v>
      </c>
      <c r="E23" s="100">
        <f>+'Input data'!E30</f>
        <v>2.4612370000000001</v>
      </c>
      <c r="F23" s="100">
        <f>+'Input data'!F30</f>
        <v>2.7786170000000001</v>
      </c>
      <c r="G23" s="100">
        <f>+'Input data'!G30</f>
        <v>3.0115460000000001</v>
      </c>
      <c r="H23" s="34">
        <f>100*(H22/G22-1)</f>
        <v>2.1985469999999951</v>
      </c>
      <c r="I23" s="34">
        <f>100*(I22/H22-1)</f>
        <v>1.541576999999994</v>
      </c>
      <c r="J23" s="34">
        <f t="shared" ref="J23:T23" si="2">100*(J22/I22-1)</f>
        <v>1.5989309999999923</v>
      </c>
      <c r="K23" s="34">
        <f t="shared" si="2"/>
        <v>1.6630259999999897</v>
      </c>
      <c r="L23" s="34">
        <f t="shared" si="2"/>
        <v>1.5770960000000001</v>
      </c>
      <c r="M23" s="34">
        <f t="shared" si="2"/>
        <v>1.5250999999999904</v>
      </c>
      <c r="N23" s="34">
        <f t="shared" si="2"/>
        <v>1.4996709999999913</v>
      </c>
      <c r="O23" s="34">
        <f t="shared" si="2"/>
        <v>1.4724509999999968</v>
      </c>
      <c r="P23" s="34">
        <f t="shared" si="2"/>
        <v>1.5369170000000043</v>
      </c>
      <c r="Q23" s="34">
        <f t="shared" si="2"/>
        <v>1.6013870000000097</v>
      </c>
      <c r="R23" s="34">
        <f t="shared" si="2"/>
        <v>1.6658569999999928</v>
      </c>
      <c r="S23" s="34">
        <f t="shared" si="2"/>
        <v>1.7527700000000035</v>
      </c>
      <c r="T23" s="34">
        <f t="shared" si="2"/>
        <v>1.8069420000000003</v>
      </c>
      <c r="U23" s="34">
        <f t="shared" ref="U23" si="3">100*(U22/T22-1)</f>
        <v>1.8724879999999944</v>
      </c>
      <c r="V23" s="34">
        <f t="shared" ref="V23" si="4">100*(V22/U22-1)</f>
        <v>1.9423069999999987</v>
      </c>
      <c r="W23" s="34">
        <f t="shared" ref="W23" si="5">100*(W22/V22-1)</f>
        <v>1.9095040000000063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c r="H25" s="259"/>
      <c r="I25" s="259"/>
      <c r="J25" s="259"/>
      <c r="K25" s="259"/>
      <c r="L25" s="259"/>
      <c r="M25" s="259"/>
      <c r="N25" s="259"/>
      <c r="O25" s="259"/>
      <c r="P25" s="259"/>
      <c r="Q25" s="259"/>
      <c r="R25" s="259"/>
      <c r="S25" s="259"/>
      <c r="T25" s="259"/>
    </row>
    <row r="26" spans="1:50" x14ac:dyDescent="0.2">
      <c r="B26" s="26" t="s">
        <v>61</v>
      </c>
      <c r="C26" s="34">
        <f>'Input data'!C34</f>
        <v>23.334579999999999</v>
      </c>
      <c r="D26" s="34">
        <f>+C26*(1+'Input data'!D33/100)</f>
        <v>24.1267537557842</v>
      </c>
      <c r="E26" s="100">
        <f>+D26*(1+'Input data'!E33/100)</f>
        <v>25.109058128758399</v>
      </c>
      <c r="F26" s="100">
        <f>+E26*(1+'Input data'!F33/100)</f>
        <v>26.049688893656899</v>
      </c>
      <c r="G26" s="100">
        <f>+F26*(1+'Input data'!G33/100)</f>
        <v>26.971436034910944</v>
      </c>
      <c r="H26" s="34">
        <f>+G26*(1+'Input data'!H33/100)</f>
        <v>27.664722233612871</v>
      </c>
      <c r="I26" s="34">
        <f>+H26*(1+'Input data'!I33/100)</f>
        <v>28.228160225339305</v>
      </c>
      <c r="J26" s="34">
        <f>+I26*(1+'Input data'!J33/100)</f>
        <v>28.749596164372218</v>
      </c>
      <c r="K26" s="34">
        <f>+J26*(1+'Input data'!K33/100)</f>
        <v>29.227709423480729</v>
      </c>
      <c r="L26" s="34">
        <f>+K26*(1+'Input data'!L33/100)</f>
        <v>29.688657875135874</v>
      </c>
      <c r="M26" s="34">
        <f>+L26*(1+'Input data'!M33/100)</f>
        <v>30.141439596389567</v>
      </c>
      <c r="N26" s="34">
        <f>+M26*(1+'Input data'!N33/100)</f>
        <v>30.593462627827932</v>
      </c>
      <c r="O26" s="34">
        <f>+N26*(1+'Input data'!O33/100)</f>
        <v>31.04393576235676</v>
      </c>
      <c r="P26" s="34">
        <f>+O26*(1+'Input data'!P33/100)</f>
        <v>31.521055909436214</v>
      </c>
      <c r="Q26" s="34">
        <f>+P26*(1+'Input data'!Q33/100)</f>
        <v>32.025830946664328</v>
      </c>
      <c r="R26" s="34">
        <f>+Q26*(1+'Input data'!R33/100)</f>
        <v>32.559336454072429</v>
      </c>
      <c r="S26" s="34">
        <f>+R26*(1+'Input data'!S33/100)</f>
        <v>33.130027712418574</v>
      </c>
      <c r="T26" s="34">
        <f>+S26*(1+'Input data'!T33/100)</f>
        <v>33.728667766465627</v>
      </c>
      <c r="U26" s="34">
        <f>+T26*(1+'Input data'!U33/100)</f>
        <v>34.360231673805849</v>
      </c>
      <c r="V26" s="34">
        <f>+U26*(1+'Input data'!V33/100)</f>
        <v>35.027612858822394</v>
      </c>
      <c r="W26" s="34">
        <f>+V26*(1+'Input data'!W33/100)</f>
        <v>35.696466877742253</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6">100*(C22/C26-1)</f>
        <v>2.5361073565498105</v>
      </c>
      <c r="D29" s="34">
        <f t="shared" si="6"/>
        <v>4.1853796728435144</v>
      </c>
      <c r="E29" s="100">
        <f t="shared" si="6"/>
        <v>2.5734216724739856</v>
      </c>
      <c r="F29" s="100">
        <f t="shared" si="6"/>
        <v>1.6167951324849383</v>
      </c>
      <c r="G29" s="100">
        <f t="shared" si="6"/>
        <v>1.0997006450576441</v>
      </c>
      <c r="H29" s="34">
        <f>100*(H22/H26-1)</f>
        <v>0.73313426032928231</v>
      </c>
      <c r="I29" s="34">
        <f t="shared" si="6"/>
        <v>0.2443700869897425</v>
      </c>
      <c r="J29" s="34">
        <f t="shared" si="6"/>
        <v>-1.0411609441263181E-5</v>
      </c>
      <c r="K29" s="34">
        <f t="shared" si="6"/>
        <v>-1.0411609452365411E-5</v>
      </c>
      <c r="L29" s="34">
        <f t="shared" si="6"/>
        <v>-8.4426618141009158E-6</v>
      </c>
      <c r="M29" s="34">
        <f t="shared" si="6"/>
        <v>-8.4426618141009158E-6</v>
      </c>
      <c r="N29" s="34">
        <f t="shared" si="6"/>
        <v>-1.0413111362073124E-5</v>
      </c>
      <c r="O29" s="34">
        <f t="shared" si="6"/>
        <v>-8.4421332258166615E-6</v>
      </c>
      <c r="P29" s="34">
        <f t="shared" si="6"/>
        <v>-1.0411859940884227E-5</v>
      </c>
      <c r="Q29" s="34">
        <f t="shared" si="6"/>
        <v>-1.336457512435274E-5</v>
      </c>
      <c r="R29" s="34">
        <f t="shared" si="6"/>
        <v>-1.631541781677015E-5</v>
      </c>
      <c r="S29" s="34">
        <f t="shared" si="6"/>
        <v>-1.9263739947650294E-5</v>
      </c>
      <c r="T29" s="34">
        <f t="shared" si="6"/>
        <v>-1.8281488822768921E-5</v>
      </c>
      <c r="U29" s="34">
        <f t="shared" ref="U29:W29" si="7">100*(U22/U26-1)</f>
        <v>-1.435501220115043E-5</v>
      </c>
      <c r="V29" s="34">
        <f t="shared" si="7"/>
        <v>-1.435501220115043E-5</v>
      </c>
      <c r="W29" s="34">
        <f t="shared" si="7"/>
        <v>-1.5336274783450676E-5</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8">100*((1+C23/100)*(1+C41/100)-1)</f>
        <v>12.863001691856368</v>
      </c>
      <c r="D32" s="1">
        <f t="shared" si="8"/>
        <v>11.430702050949048</v>
      </c>
      <c r="E32" s="2">
        <f t="shared" si="8"/>
        <v>7.3089281278882812</v>
      </c>
      <c r="F32" s="2">
        <f t="shared" si="8"/>
        <v>6.5951837746716091</v>
      </c>
      <c r="G32" s="2">
        <f>100*((1+G23/100)*(1+G41/100)-1)</f>
        <v>5.4581989819325161</v>
      </c>
      <c r="H32" s="1">
        <f>100*((1+H23/100)*(1+H41/100)-1)</f>
        <v>4.6482302030670164</v>
      </c>
      <c r="I32" s="1">
        <f t="shared" si="8"/>
        <v>3.9977090889159461</v>
      </c>
      <c r="J32" s="1">
        <f t="shared" si="8"/>
        <v>4.0786592838835789</v>
      </c>
      <c r="K32" s="1">
        <f t="shared" si="8"/>
        <v>4.1665415546412454</v>
      </c>
      <c r="L32" s="1">
        <f t="shared" si="8"/>
        <v>4.1006995930137569</v>
      </c>
      <c r="M32" s="1">
        <f t="shared" si="8"/>
        <v>4.0696045453437524</v>
      </c>
      <c r="N32" s="1">
        <f t="shared" si="8"/>
        <v>4.0657254167923318</v>
      </c>
      <c r="O32" s="1">
        <f t="shared" si="8"/>
        <v>4.0599985005000061</v>
      </c>
      <c r="P32" s="1">
        <f t="shared" si="8"/>
        <v>4.0981857313250103</v>
      </c>
      <c r="Q32" s="1">
        <f t="shared" si="8"/>
        <v>4.136341605650018</v>
      </c>
      <c r="R32" s="1">
        <f t="shared" si="8"/>
        <v>4.1744620214750006</v>
      </c>
      <c r="S32" s="1">
        <f t="shared" si="8"/>
        <v>4.2355375879999935</v>
      </c>
      <c r="T32" s="1">
        <f t="shared" si="8"/>
        <v>4.2630344757500049</v>
      </c>
      <c r="U32" s="1">
        <f t="shared" si="8"/>
        <v>4.3021468387999917</v>
      </c>
      <c r="V32" s="1">
        <f t="shared" si="8"/>
        <v>4.3455968875249829</v>
      </c>
      <c r="W32" s="1">
        <f t="shared" si="8"/>
        <v>4.2839954432000171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93</v>
      </c>
    </row>
    <row r="35" spans="2:51" x14ac:dyDescent="0.2">
      <c r="B35" s="26" t="s">
        <v>63</v>
      </c>
      <c r="C35" s="1">
        <f>'Input data'!C37</f>
        <v>1.716024</v>
      </c>
      <c r="D35" s="1">
        <f>'Input data'!D37</f>
        <v>1.648296</v>
      </c>
      <c r="E35" s="2">
        <f>'Input data'!E37</f>
        <v>1.80772</v>
      </c>
      <c r="F35" s="2">
        <f>'Input data'!F37</f>
        <v>1.9077200000000001</v>
      </c>
      <c r="G35" s="2">
        <f>'Input data'!G37</f>
        <v>1.9077200000000001</v>
      </c>
      <c r="H35" s="1">
        <f>H96</f>
        <v>2.0578644042332872</v>
      </c>
      <c r="I35" s="1">
        <f t="shared" ref="I35:W35" si="9">I96</f>
        <v>2.2118747751549774</v>
      </c>
      <c r="J35" s="1">
        <f t="shared" si="9"/>
        <v>2.3601174524281245</v>
      </c>
      <c r="K35" s="1">
        <f t="shared" si="9"/>
        <v>2.509376093422182</v>
      </c>
      <c r="L35" s="1">
        <f t="shared" si="9"/>
        <v>2.6408966411575108</v>
      </c>
      <c r="M35" s="1">
        <f t="shared" si="9"/>
        <v>2.7524530711746404</v>
      </c>
      <c r="N35" s="1">
        <f t="shared" si="9"/>
        <v>2.865798759261871</v>
      </c>
      <c r="O35" s="1">
        <f t="shared" si="9"/>
        <v>2.9203644316467692</v>
      </c>
      <c r="P35" s="1">
        <f t="shared" si="9"/>
        <v>2.9722771636553915</v>
      </c>
      <c r="Q35" s="1">
        <f t="shared" si="9"/>
        <v>3.0230111663401642</v>
      </c>
      <c r="R35" s="1">
        <f t="shared" si="9"/>
        <v>3.0746977840493419</v>
      </c>
      <c r="S35" s="1">
        <f t="shared" si="9"/>
        <v>3.1255827448038529</v>
      </c>
      <c r="T35" s="1">
        <f>T96</f>
        <v>3.176586129394241</v>
      </c>
      <c r="U35" s="1">
        <f t="shared" si="9"/>
        <v>3.2244457680303307</v>
      </c>
      <c r="V35" s="1">
        <f t="shared" si="9"/>
        <v>3.2648611866733375</v>
      </c>
      <c r="W35" s="1">
        <f t="shared" si="9"/>
        <v>3.3062700786320192</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94</v>
      </c>
      <c r="C36" s="1"/>
      <c r="D36" s="1"/>
      <c r="E36" s="2">
        <f>'Input data'!E39</f>
        <v>3.91</v>
      </c>
      <c r="F36" s="166">
        <f>'Input data'!F39</f>
        <v>3.3161689999999999</v>
      </c>
      <c r="G36" s="166">
        <f>'Input data'!G39</f>
        <v>3.3153579999999998</v>
      </c>
      <c r="H36" s="1">
        <f>G36+($O$36-$G$36)/($O$10-$G$10)</f>
        <v>3.381707</v>
      </c>
      <c r="I36" s="1">
        <f t="shared" ref="I36:M36" si="10">H36+($O$36-$G$36)/($O$10-$G$10)</f>
        <v>3.4480560000000002</v>
      </c>
      <c r="J36" s="1">
        <f t="shared" si="10"/>
        <v>3.5144050000000004</v>
      </c>
      <c r="K36" s="1">
        <f t="shared" si="10"/>
        <v>3.5807540000000007</v>
      </c>
      <c r="L36" s="1">
        <f t="shared" si="10"/>
        <v>3.6471030000000009</v>
      </c>
      <c r="M36" s="1">
        <f t="shared" si="10"/>
        <v>3.7134520000000011</v>
      </c>
      <c r="N36" s="1">
        <f>M36+($O$36-$G$36)/($O$10-$G$10)</f>
        <v>3.7798010000000013</v>
      </c>
      <c r="O36" s="252">
        <f>'Input data'!$C$52</f>
        <v>3.8461500000000002</v>
      </c>
      <c r="P36" s="1">
        <f>$O$36+('Input data'!$C$54-'Input data'!$C$52)/20*('Baseline NFPC'!P$10-2033)</f>
        <v>3.8538425000000003</v>
      </c>
      <c r="Q36" s="1">
        <f>$O$36+('Input data'!$C$54-'Input data'!$C$52)/20*('Baseline NFPC'!Q$10-2033)</f>
        <v>3.8615349999999999</v>
      </c>
      <c r="R36" s="1">
        <f>$O$36+('Input data'!$C$54-'Input data'!$C$52)/20*('Baseline NFPC'!R$10-2033)</f>
        <v>3.8692275</v>
      </c>
      <c r="S36" s="1">
        <f>$O$36+('Input data'!$C$54-'Input data'!$C$52)/20*('Baseline NFPC'!S$10-2033)</f>
        <v>3.8769200000000001</v>
      </c>
      <c r="T36" s="1">
        <f>$O$36+('Input data'!$C$54-'Input data'!$C$52)/20*('Baseline NFPC'!T$10-2033)</f>
        <v>3.8846125000000002</v>
      </c>
      <c r="U36" s="1">
        <f>$O$36+('Input data'!$C$54-'Input data'!$C$52)/20*('Baseline NFPC'!U$10-2033)</f>
        <v>3.8923050000000003</v>
      </c>
      <c r="V36" s="1">
        <f>$O$36+('Input data'!$C$54-'Input data'!$C$52)/20*('Baseline NFPC'!V$10-2033)</f>
        <v>3.8999975</v>
      </c>
      <c r="W36" s="1">
        <f>$O$36+('Input data'!$C$54-'Input data'!$C$52)/20*('Baseline NFPC'!W$10-2033)</f>
        <v>3.9076900000000001</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1"/>
      <c r="E37" s="2">
        <f>'Input data'!E$38</f>
        <v>3.43</v>
      </c>
      <c r="F37" s="166">
        <f>'Input data'!F$38</f>
        <v>3.5642079999999998</v>
      </c>
      <c r="G37" s="166">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252">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96</v>
      </c>
      <c r="C38" s="1">
        <v>3.8019160000000003E-2</v>
      </c>
      <c r="D38" s="1">
        <v>7.8597440000000005E-2</v>
      </c>
      <c r="E38" s="1">
        <v>5.9475470000000003E-2</v>
      </c>
      <c r="F38" s="1">
        <v>9.6876959999999998E-2</v>
      </c>
      <c r="G38" s="1">
        <f>IF(OR($C$3="EL",$C$3="CY",$C$3="IE",$C$3="PT"),VLOOKUP($C$3,$B$110:$T$114,MATCH(G$10,$B$110:$T$110,0),0),$F$38+('Input data'!$C$59-$F$38)/($O$10-$F$10)*(G10-$F$10))</f>
        <v>0.11684023</v>
      </c>
      <c r="H38" s="1">
        <f>IF(OR($C$3="EL",$C$3="CY",$C$3="IE",$C$3="PT"),VLOOKUP($C$3,$B$110:$T$114,MATCH(H$10,$B$110:$T$110,0),0),$F$38+('Input data'!$C$59-$F$38)/($O$10-$F$10)*(H10-$F$10))</f>
        <v>0.13811532000000001</v>
      </c>
      <c r="I38" s="1">
        <f>IF(OR($C$3="EL",$C$3="CY",$C$3="IE",$C$3="PT"),VLOOKUP($C$3,$B$110:$T$114,MATCH(I$10,$B$110:$T$110,0),0),$F$38+('Input data'!$C$59-$F$38)/($O$10-$F$10)*(I10-$F$10))</f>
        <v>0.13659083</v>
      </c>
      <c r="J38" s="1">
        <f>IF(OR($C$3="EL",$C$3="CY",$C$3="IE",$C$3="PT"),VLOOKUP($C$3,$B$110:$T$114,MATCH(J$10,$B$110:$T$110,0),0),$F$38+('Input data'!$C$59-$F$38)/($O$10-$F$10)*(J10-$F$10))</f>
        <v>0.14219135999999999</v>
      </c>
      <c r="K38" s="1">
        <f>IF(OR($C$3="EL",$C$3="CY",$C$3="IE",$C$3="PT"),VLOOKUP($C$3,$B$110:$T$114,MATCH(K$10,$B$110:$T$110,0),0),$F$38+('Input data'!$C$59-$F$38)/($O$10-$F$10)*(K10-$F$10))</f>
        <v>0.1389396</v>
      </c>
      <c r="L38" s="1">
        <f>IF(OR($C$3="EL",$C$3="CY",$C$3="IE",$C$3="PT"),VLOOKUP($C$3,$B$110:$T$114,MATCH(L$10,$B$110:$T$110,0),0),$F$38+('Input data'!$C$59-$F$38)/($O$10-$F$10)*(L10-$F$10))</f>
        <v>0.12512538000000001</v>
      </c>
      <c r="M38" s="1">
        <f>IF(OR($C$3="EL",$C$3="CY",$C$3="IE",$C$3="PT"),VLOOKUP($C$3,$B$110:$T$114,MATCH(M$10,$B$110:$T$110,0),0),$F$38+('Input data'!$C$59-$F$38)/($O$10-$F$10)*(M10-$F$10))</f>
        <v>0.12849179999999999</v>
      </c>
      <c r="N38" s="1">
        <f>IF(OR($C$3="EL",$C$3="CY",$C$3="IE",$C$3="PT"),VLOOKUP($C$3,$B$110:$T$114,MATCH(N$10,$B$110:$T$110,0),0),$F$38+('Input data'!$C$59-$F$38)/($O$10-$F$10)*(N10-$F$10))</f>
        <v>7.2085140000000006E-2</v>
      </c>
      <c r="O38" s="252">
        <f>IF(OR($C$3="EL",$C$3="CY",$C$3="IE",$C$3="PT"),VLOOKUP($C$3,$B$110:$T$114,MATCH(O$10,$B$110:$T$110,0),0),'Input data'!$C$59)</f>
        <v>6.8681389999999995E-2</v>
      </c>
      <c r="P38" s="1">
        <f>IF(OR($C$3="EL",$C$3="CY",$C$3="IE",$C$3="PT"),VLOOKUP($C$3,$B$110:$T$114,MATCH(P$10,$B$110:$T$110,0),0),'Input data'!$C$59)</f>
        <v>6.8049499999999999E-2</v>
      </c>
      <c r="Q38" s="1">
        <f>IF(OR($C$3="EL",$C$3="CY",$C$3="IE",$C$3="PT"),VLOOKUP($C$3,$B$110:$T$114,MATCH(Q$10,$B$110:$T$110,0),0),'Input data'!$C$59)</f>
        <v>6.8080779999999994E-2</v>
      </c>
      <c r="R38" s="1">
        <f>IF(OR($C$3="EL",$C$3="CY",$C$3="IE",$C$3="PT"),VLOOKUP($C$3,$B$110:$T$114,MATCH(R$10,$B$110:$T$110,0),0),'Input data'!$C$59)</f>
        <v>6.7666320000000002E-2</v>
      </c>
      <c r="S38" s="1">
        <f>IF(OR($C$3="EL",$C$3="CY",$C$3="IE",$C$3="PT"),VLOOKUP($C$3,$B$110:$T$114,MATCH(S$10,$B$110:$T$110,0),0),'Input data'!$C$59)</f>
        <v>6.9220519999999994E-2</v>
      </c>
      <c r="T38" s="1">
        <f>IF(OR($C$3="EL",$C$3="CY",$C$3="IE",$C$3="PT"),VLOOKUP($C$3,$B$110:$T$114,MATCH(T$10,$B$110:$T$110,0),0),'Input data'!$C$59)</f>
        <v>6.6629789999999994E-2</v>
      </c>
      <c r="U38" s="1">
        <f>IF(OR($C$3="EL",$C$3="CY",$C$3="IE",$C$3="PT"),VLOOKUP($C$3,$B$110:$W$114,MATCH(U$10,$B$110:$W$110,0),0),'Input data'!$C$59)</f>
        <v>6.6434309999999996E-2</v>
      </c>
      <c r="V38" s="1">
        <f>IF(OR($C$3="EL",$C$3="CY",$C$3="IE",$C$3="PT"),VLOOKUP($C$3,$B$110:$W$114,MATCH(V$10,$B$110:$W$110,0),0),'Input data'!$C$59)</f>
        <v>6.6393380000000002E-2</v>
      </c>
      <c r="W38" s="1">
        <f>IF(OR($C$3="EL",$C$3="CY",$C$3="IE",$C$3="PT"),VLOOKUP($C$3,$B$110:$W$114,MATCH(W$10,$B$110:$W$110,0),0),'Input data'!$C$59)</f>
        <v>6.621254E-2</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03"/>
      <c r="H40" s="103"/>
      <c r="I40" s="103"/>
      <c r="J40" s="103"/>
      <c r="K40" s="103"/>
      <c r="L40" s="103"/>
      <c r="M40" s="103"/>
      <c r="N40" s="1"/>
      <c r="O40" s="103"/>
      <c r="P40" s="103"/>
      <c r="Q40" s="103"/>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2.685441</v>
      </c>
      <c r="D41" s="1">
        <f>'Input data'!D42</f>
        <v>6.0659559999999999</v>
      </c>
      <c r="E41" s="2">
        <f>'Input data'!E42</f>
        <v>4.7312440000000002</v>
      </c>
      <c r="F41" s="2">
        <f>'Input data'!F42</f>
        <v>3.7133859999999999</v>
      </c>
      <c r="G41" s="2">
        <f>'Input data'!G42</f>
        <v>2.3751250000000002</v>
      </c>
      <c r="H41" s="1">
        <f>$G$41+($O$41-$G$41)/($O$10-$G$10)*(H10-$G$10)</f>
        <v>2.3969843750000002</v>
      </c>
      <c r="I41" s="1">
        <f>$G$41+($O$41-$G$41)/($O$10-$G$10)*(I10-$G$10)</f>
        <v>2.4188437500000002</v>
      </c>
      <c r="J41" s="1">
        <f t="shared" ref="J41:M41" si="12">$G$41+($O$41-$G$41)/($O$10-$G$10)*(J10-$G$10)</f>
        <v>2.4407031250000002</v>
      </c>
      <c r="K41" s="1">
        <f t="shared" si="12"/>
        <v>2.4625624999999998</v>
      </c>
      <c r="L41" s="1">
        <f t="shared" si="12"/>
        <v>2.4844218749999998</v>
      </c>
      <c r="M41" s="1">
        <f t="shared" si="12"/>
        <v>2.5062812499999998</v>
      </c>
      <c r="N41" s="1">
        <f>$G$41+($O$41-$G$41)/($O$10-$G$10)*(N10-$G$10)</f>
        <v>2.5281406249999998</v>
      </c>
      <c r="O41" s="252">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v>1</v>
      </c>
      <c r="D42" s="1">
        <v>1</v>
      </c>
      <c r="E42" s="1">
        <v>1</v>
      </c>
      <c r="F42" s="1">
        <v>1</v>
      </c>
      <c r="G42" s="1">
        <v>1</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2.75" x14ac:dyDescent="0.2">
      <c r="B44" s="75" t="s">
        <v>99</v>
      </c>
      <c r="C44" s="76"/>
    </row>
    <row r="45" spans="2:51" x14ac:dyDescent="0.2">
      <c r="C45" s="36"/>
    </row>
    <row r="46" spans="2:51" x14ac:dyDescent="0.2">
      <c r="B46" s="54" t="s">
        <v>68</v>
      </c>
      <c r="C46" s="55">
        <f>'Input data'!C49</f>
        <v>0.75</v>
      </c>
    </row>
    <row r="47" spans="2:51" x14ac:dyDescent="0.2">
      <c r="B47" s="56" t="s">
        <v>257</v>
      </c>
      <c r="C47" s="57">
        <f>'Input data'!C50</f>
        <v>0.504</v>
      </c>
    </row>
    <row r="48" spans="2:51" x14ac:dyDescent="0.2">
      <c r="C48" s="58"/>
    </row>
    <row r="49" spans="2:48" outlineLevel="1" x14ac:dyDescent="0.2">
      <c r="B49" s="26" t="s">
        <v>100</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c r="D50" s="34">
        <f t="shared" ref="D50:W50" si="13">IF(C49=4,2/3*C29,IF(C49=3,1/3*B29,0))</f>
        <v>0</v>
      </c>
      <c r="E50" s="34">
        <f t="shared" si="13"/>
        <v>0</v>
      </c>
      <c r="F50" s="34">
        <f t="shared" si="13"/>
        <v>0</v>
      </c>
      <c r="G50" s="34">
        <f t="shared" si="13"/>
        <v>0</v>
      </c>
      <c r="H50" s="34">
        <f t="shared" si="13"/>
        <v>0</v>
      </c>
      <c r="I50" s="34">
        <f t="shared" si="13"/>
        <v>0</v>
      </c>
      <c r="J50" s="34">
        <f t="shared" si="13"/>
        <v>0</v>
      </c>
      <c r="K50" s="34">
        <f t="shared" si="13"/>
        <v>0</v>
      </c>
      <c r="L50" s="34">
        <f t="shared" si="13"/>
        <v>0</v>
      </c>
      <c r="M50" s="34">
        <f t="shared" si="13"/>
        <v>0</v>
      </c>
      <c r="N50" s="34">
        <f t="shared" si="13"/>
        <v>0</v>
      </c>
      <c r="O50" s="34">
        <f t="shared" si="13"/>
        <v>0</v>
      </c>
      <c r="P50" s="34">
        <f t="shared" si="13"/>
        <v>0</v>
      </c>
      <c r="Q50" s="34">
        <f t="shared" si="13"/>
        <v>0</v>
      </c>
      <c r="R50" s="34">
        <f t="shared" si="13"/>
        <v>0</v>
      </c>
      <c r="S50" s="34">
        <f t="shared" si="13"/>
        <v>0</v>
      </c>
      <c r="T50" s="34">
        <f t="shared" si="13"/>
        <v>0</v>
      </c>
      <c r="U50" s="34">
        <f t="shared" si="13"/>
        <v>0</v>
      </c>
      <c r="V50" s="34">
        <f t="shared" si="13"/>
        <v>0</v>
      </c>
      <c r="W50" s="34">
        <f t="shared" si="13"/>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5.0579340000000004</v>
      </c>
      <c r="E51" s="34">
        <f>'Input data'!E30-$C$46*((E12-D12)-('Input data'!E13-'Input data'!D13))</f>
        <v>2.4612370000000001</v>
      </c>
      <c r="F51" s="34">
        <f>'Input data'!F30-$C$46*((F12-E12)-('Input data'!F13-'Input data'!E13))</f>
        <v>2.7786170000000001</v>
      </c>
      <c r="G51" s="34">
        <f>'Input data'!G30-$C$46*((G12-F12)-('Input data'!G13-'Input data'!F13))</f>
        <v>0.39974225000000008</v>
      </c>
      <c r="H51" s="34">
        <f>'Input data'!H30-$C$46*((H12-G12))</f>
        <v>2.198547</v>
      </c>
      <c r="I51" s="34">
        <f>'Input data'!I30-$C$46*((I12-H12))</f>
        <v>1.541577</v>
      </c>
      <c r="J51" s="34">
        <f>'Input data'!J30-$C$46*((J12-I12))</f>
        <v>1.5989310000000001</v>
      </c>
      <c r="K51" s="34">
        <f>'Input data'!K30-$C$46*((K12-J12))</f>
        <v>1.6630259999999999</v>
      </c>
      <c r="L51" s="34">
        <f>'Input data'!L30-$C$46*((L12-K12))</f>
        <v>1.5770960000000001</v>
      </c>
      <c r="M51" s="34">
        <f>'Input data'!M30-$C$46*((M12-L12))</f>
        <v>1.5250999999999999</v>
      </c>
      <c r="N51" s="34">
        <f>'Input data'!N30-$C$46*((N12-M12))</f>
        <v>1.499671</v>
      </c>
      <c r="O51" s="34">
        <f>'Input data'!O30-$C$46*((O12-N12))</f>
        <v>1.472451</v>
      </c>
      <c r="P51" s="34">
        <f>'Input data'!P30-$C$46*((P12-O12))</f>
        <v>1.5369170000000001</v>
      </c>
      <c r="Q51" s="34">
        <f>'Input data'!Q30-$C$46*((Q12-P12))</f>
        <v>1.6013869999999999</v>
      </c>
      <c r="R51" s="34">
        <f>'Input data'!R30-$C$46*((R12-Q12))</f>
        <v>1.6658569999999999</v>
      </c>
      <c r="S51" s="34">
        <f>'Input data'!S30-$C$46*((S12-R12))</f>
        <v>1.7527699999999999</v>
      </c>
      <c r="T51" s="34">
        <f>'Input data'!T30-$C$46*((T12-S12))</f>
        <v>1.806942</v>
      </c>
      <c r="U51" s="34">
        <f>'Input data'!U30-$C$46*((U12-T12))</f>
        <v>1.8724879999999999</v>
      </c>
      <c r="V51" s="34">
        <f>'Input data'!V30-$C$46*((V12-U12))</f>
        <v>1.942307</v>
      </c>
      <c r="W51" s="34">
        <f>'Input data'!W30-$C$46*((W12-V12))</f>
        <v>1.9095040000000001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2.75" outlineLevel="1" x14ac:dyDescent="0.2">
      <c r="B53" s="72" t="s">
        <v>103</v>
      </c>
      <c r="C53" s="73"/>
      <c r="E53" s="74"/>
      <c r="F53" s="73"/>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99.250230000000002</v>
      </c>
      <c r="D56" s="45">
        <f>+C56+D57</f>
        <v>85.595287844886869</v>
      </c>
      <c r="E56" s="45">
        <f t="shared" ref="E56:T56" si="14">+D56+E57</f>
        <v>77.284440321959977</v>
      </c>
      <c r="F56" s="45">
        <f>+E56+F57</f>
        <v>70.579945075187567</v>
      </c>
      <c r="G56" s="45">
        <f>+F56+G57</f>
        <v>65.810346550078521</v>
      </c>
      <c r="H56" s="45">
        <f t="shared" si="14"/>
        <v>60.945028545249919</v>
      </c>
      <c r="I56" s="45">
        <f t="shared" si="14"/>
        <v>57.091444398729493</v>
      </c>
      <c r="J56" s="45">
        <f t="shared" si="14"/>
        <v>53.609384153841056</v>
      </c>
      <c r="K56" s="45">
        <f t="shared" si="14"/>
        <v>50.102591426698453</v>
      </c>
      <c r="L56" s="45">
        <f t="shared" si="14"/>
        <v>46.989598699815112</v>
      </c>
      <c r="M56" s="45">
        <f t="shared" si="14"/>
        <v>44.228540271391957</v>
      </c>
      <c r="N56" s="45">
        <f t="shared" si="14"/>
        <v>41.749136091509243</v>
      </c>
      <c r="O56" s="45">
        <f t="shared" si="14"/>
        <v>39.558760359080487</v>
      </c>
      <c r="P56" s="45">
        <f t="shared" si="14"/>
        <v>37.5543764703527</v>
      </c>
      <c r="Q56" s="45">
        <f t="shared" si="14"/>
        <v>35.79319568969602</v>
      </c>
      <c r="R56" s="45">
        <f>+Q56+R57</f>
        <v>34.204654255484357</v>
      </c>
      <c r="S56" s="45">
        <f t="shared" si="14"/>
        <v>32.746179610617361</v>
      </c>
      <c r="T56" s="45">
        <f t="shared" si="14"/>
        <v>31.419467487426868</v>
      </c>
      <c r="U56" s="45">
        <f t="shared" ref="U56" si="15">+T56+U57</f>
        <v>29.911113534035817</v>
      </c>
      <c r="V56" s="45">
        <f t="shared" ref="V56" si="16">+U56+V57</f>
        <v>28.607281138326304</v>
      </c>
      <c r="W56" s="45">
        <f t="shared" ref="W56" si="17">+V56+W57</f>
        <v>27.364483950352131</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-13.654942155113131</v>
      </c>
      <c r="E57" s="47">
        <f t="shared" ref="E57:T57" si="18">-E58+E66+E71</f>
        <v>-8.3108475229268901</v>
      </c>
      <c r="F57" s="47">
        <f>-F58+F66+F71</f>
        <v>-6.7044952467724084</v>
      </c>
      <c r="G57" s="47">
        <f>-G58+G66+G71</f>
        <v>-4.7695985251090462</v>
      </c>
      <c r="H57" s="47">
        <f t="shared" si="18"/>
        <v>-4.8653180048286044</v>
      </c>
      <c r="I57" s="47">
        <f t="shared" si="18"/>
        <v>-3.8535841465204248</v>
      </c>
      <c r="J57" s="47">
        <f t="shared" si="18"/>
        <v>-3.4820602448884355</v>
      </c>
      <c r="K57" s="47">
        <f t="shared" si="18"/>
        <v>-3.5067927271426007</v>
      </c>
      <c r="L57" s="47">
        <f t="shared" si="18"/>
        <v>-3.1129927268833435</v>
      </c>
      <c r="M57" s="47">
        <f t="shared" si="18"/>
        <v>-2.7610584284231532</v>
      </c>
      <c r="N57" s="47">
        <f t="shared" si="18"/>
        <v>-2.479404179882716</v>
      </c>
      <c r="O57" s="47">
        <f t="shared" si="18"/>
        <v>-2.1903757324287545</v>
      </c>
      <c r="P57" s="47">
        <f t="shared" si="18"/>
        <v>-2.0043838887277898</v>
      </c>
      <c r="Q57" s="47">
        <f t="shared" si="18"/>
        <v>-1.7611807806566826</v>
      </c>
      <c r="R57" s="47">
        <f>-R58+R66+R71</f>
        <v>-1.5885414342116606</v>
      </c>
      <c r="S57" s="47">
        <f t="shared" si="18"/>
        <v>-1.4584746448669961</v>
      </c>
      <c r="T57" s="47">
        <f t="shared" si="18"/>
        <v>-1.3267121231904939</v>
      </c>
      <c r="U57" s="47">
        <f t="shared" ref="U57:W57" si="19">-U58+U66+U71</f>
        <v>-1.5083539533910519</v>
      </c>
      <c r="V57" s="47">
        <f t="shared" si="19"/>
        <v>-1.3038323957095119</v>
      </c>
      <c r="W57" s="47">
        <f t="shared" si="19"/>
        <v>-1.2427971879741708</v>
      </c>
    </row>
    <row r="58" spans="2:48" outlineLevel="1" x14ac:dyDescent="0.2">
      <c r="B58" s="84" t="s">
        <v>106</v>
      </c>
      <c r="C58" s="48"/>
      <c r="D58" s="48">
        <f>D59+D60-D61-D62-D63-D64-D65</f>
        <v>4.1969893551131312</v>
      </c>
      <c r="E58" s="48">
        <f>E59+E60-E61-E62-E63-E64-E65</f>
        <v>4.5240515229268894</v>
      </c>
      <c r="F58" s="48">
        <f>F59+F60-F61-F62-F63-F64-F65</f>
        <v>4.2972697467724092</v>
      </c>
      <c r="G58" s="48">
        <f t="shared" ref="G58:T58" si="20">G59+G60-G61-G62-G63-G64-G65</f>
        <v>3.6940465251090462</v>
      </c>
      <c r="H58" s="48">
        <f t="shared" si="20"/>
        <v>3.2363093672059575</v>
      </c>
      <c r="I58" s="48">
        <f t="shared" si="20"/>
        <v>2.8070445238428321</v>
      </c>
      <c r="J58" s="48">
        <f t="shared" si="20"/>
        <v>2.5393690525488446</v>
      </c>
      <c r="K58" s="48">
        <f t="shared" si="20"/>
        <v>2.6539313525488382</v>
      </c>
      <c r="L58" s="48">
        <f t="shared" si="20"/>
        <v>2.4104046448984464</v>
      </c>
      <c r="M58" s="48">
        <f t="shared" si="20"/>
        <v>2.1663370448984471</v>
      </c>
      <c r="N58" s="48">
        <f t="shared" si="20"/>
        <v>1.969428351791874</v>
      </c>
      <c r="O58" s="48">
        <f t="shared" si="20"/>
        <v>1.7331516451648554</v>
      </c>
      <c r="P58" s="48">
        <f t="shared" si="20"/>
        <v>1.5765229524225857</v>
      </c>
      <c r="Q58" s="48">
        <f t="shared" si="20"/>
        <v>1.3596837642541337</v>
      </c>
      <c r="R58" s="48">
        <f t="shared" si="20"/>
        <v>1.2106745770294181</v>
      </c>
      <c r="S58" s="48">
        <f t="shared" si="20"/>
        <v>1.0942454910750607</v>
      </c>
      <c r="T58" s="48">
        <f t="shared" si="20"/>
        <v>0.98548828612963657</v>
      </c>
      <c r="U58" s="48">
        <f t="shared" ref="U58:W58" si="21">U59+U60-U61-U62-U63-U64-U65</f>
        <v>1.1837125650738511</v>
      </c>
      <c r="V58" s="48">
        <f t="shared" si="21"/>
        <v>0.99403486507384653</v>
      </c>
      <c r="W58" s="48">
        <f t="shared" si="21"/>
        <v>0.97458667051750747</v>
      </c>
    </row>
    <row r="59" spans="2:48" outlineLevel="1" x14ac:dyDescent="0.2">
      <c r="B59" s="79" t="s">
        <v>107</v>
      </c>
      <c r="C59" s="1"/>
      <c r="D59" s="1">
        <f>D12</f>
        <v>2.087558</v>
      </c>
      <c r="E59" s="1">
        <f>E12</f>
        <v>3.2270470000000002</v>
      </c>
      <c r="F59" s="1">
        <f>F12</f>
        <v>3.482405</v>
      </c>
      <c r="G59" s="1">
        <f t="shared" ref="G59:W59" si="22">IF(G12="",F59,G12)</f>
        <v>3.482405</v>
      </c>
      <c r="H59" s="1">
        <f>IF(H12="",G59,H12)</f>
        <v>3.482405</v>
      </c>
      <c r="I59" s="1">
        <f t="shared" si="22"/>
        <v>3.482405</v>
      </c>
      <c r="J59" s="1">
        <f t="shared" si="22"/>
        <v>3.482405</v>
      </c>
      <c r="K59" s="1">
        <f t="shared" si="22"/>
        <v>3.482405</v>
      </c>
      <c r="L59" s="1">
        <f t="shared" si="22"/>
        <v>3.482405</v>
      </c>
      <c r="M59" s="1">
        <f t="shared" si="22"/>
        <v>3.482405</v>
      </c>
      <c r="N59" s="1">
        <f t="shared" si="22"/>
        <v>3.482405</v>
      </c>
      <c r="O59" s="1">
        <f t="shared" si="22"/>
        <v>3.482405</v>
      </c>
      <c r="P59" s="1">
        <f t="shared" si="22"/>
        <v>3.482405</v>
      </c>
      <c r="Q59" s="1">
        <f t="shared" si="22"/>
        <v>3.482405</v>
      </c>
      <c r="R59" s="1">
        <f t="shared" si="22"/>
        <v>3.482405</v>
      </c>
      <c r="S59" s="1">
        <f t="shared" si="22"/>
        <v>3.482405</v>
      </c>
      <c r="T59" s="1">
        <f t="shared" si="22"/>
        <v>3.482405</v>
      </c>
      <c r="U59" s="1">
        <f t="shared" si="22"/>
        <v>3.482405</v>
      </c>
      <c r="V59" s="1">
        <f t="shared" si="22"/>
        <v>3.482405</v>
      </c>
      <c r="W59" s="1">
        <f t="shared" si="22"/>
        <v>3.482405</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3">-$C$47*D29</f>
        <v>-2.1094313551131312</v>
      </c>
      <c r="E61" s="1">
        <f t="shared" si="23"/>
        <v>-1.2970045229268887</v>
      </c>
      <c r="F61" s="1">
        <f t="shared" si="23"/>
        <v>-0.81486474677240894</v>
      </c>
      <c r="G61" s="1">
        <f t="shared" si="23"/>
        <v>-0.55424912510905266</v>
      </c>
      <c r="H61" s="1">
        <f>-$C$47*H29</f>
        <v>-0.36949966720595828</v>
      </c>
      <c r="I61" s="1">
        <f t="shared" si="23"/>
        <v>-0.12316252384283022</v>
      </c>
      <c r="J61" s="1">
        <f>-$C$47*J29</f>
        <v>5.2474511583966429E-6</v>
      </c>
      <c r="K61" s="1">
        <f t="shared" si="23"/>
        <v>5.2474511639921671E-6</v>
      </c>
      <c r="L61" s="1">
        <f t="shared" si="23"/>
        <v>4.2551015543068619E-6</v>
      </c>
      <c r="M61" s="1">
        <f t="shared" si="23"/>
        <v>4.2551015543068619E-6</v>
      </c>
      <c r="N61" s="1">
        <f t="shared" si="23"/>
        <v>5.2482081264848544E-6</v>
      </c>
      <c r="O61" s="1">
        <f t="shared" si="23"/>
        <v>4.2548351458115976E-6</v>
      </c>
      <c r="P61" s="1">
        <f t="shared" si="23"/>
        <v>5.2475774102056507E-6</v>
      </c>
      <c r="Q61" s="1">
        <f t="shared" si="23"/>
        <v>6.7357458626737811E-6</v>
      </c>
      <c r="R61" s="1">
        <f t="shared" si="23"/>
        <v>8.2229705796521561E-6</v>
      </c>
      <c r="S61" s="1">
        <f t="shared" si="23"/>
        <v>9.7089249336157473E-6</v>
      </c>
      <c r="T61" s="1">
        <f t="shared" si="23"/>
        <v>9.2138703666755362E-6</v>
      </c>
      <c r="U61" s="1">
        <f t="shared" si="23"/>
        <v>7.234926149379817E-6</v>
      </c>
      <c r="V61" s="1">
        <f t="shared" si="23"/>
        <v>7.234926149379817E-6</v>
      </c>
      <c r="W61" s="1">
        <f t="shared" si="23"/>
        <v>7.7294824908591405E-6</v>
      </c>
    </row>
    <row r="62" spans="2:48" outlineLevel="1" x14ac:dyDescent="0.2">
      <c r="B62" s="79" t="s">
        <v>110</v>
      </c>
      <c r="C62" s="1"/>
      <c r="D62" s="1">
        <f t="shared" ref="D62:W62" si="24">-D13</f>
        <v>0</v>
      </c>
      <c r="E62" s="1">
        <f t="shared" si="24"/>
        <v>0</v>
      </c>
      <c r="F62" s="1">
        <f t="shared" si="24"/>
        <v>0</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79" t="s">
        <v>111</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0.33646000000000598</v>
      </c>
      <c r="H63" s="1">
        <f>IF(H$55&lt;=$C$5,0,HLOOKUP(H$55,'Input data'!$C$9:$BB$26,12,FALSE)-HLOOKUP($C$5,'Input data'!$C$9:$BB$26,12,FALSE))</f>
        <v>0.60330000000000084</v>
      </c>
      <c r="I63" s="1">
        <f>IF(I$55&lt;=$C$5,0,HLOOKUP(I$55,'Input data'!$C$9:$BB$26,12,FALSE)-HLOOKUP($C$5,'Input data'!$C$9:$BB$26,12,FALSE))</f>
        <v>0.78007999999999811</v>
      </c>
      <c r="J63" s="1">
        <f>IF(J$55&lt;=$C$5,0,HLOOKUP(J$55,'Input data'!$C$9:$BB$26,12,FALSE)-HLOOKUP($C$5,'Input data'!$C$9:$BB$26,12,FALSE))</f>
        <v>0.91843999999999681</v>
      </c>
      <c r="K63" s="1">
        <f>IF(K$55&lt;=$C$5,0,HLOOKUP(K$55,'Input data'!$C$9:$BB$26,12,FALSE)-HLOOKUP($C$5,'Input data'!$C$9:$BB$26,12,FALSE))</f>
        <v>0.79772999999999783</v>
      </c>
      <c r="L63" s="1">
        <f>IF(L$55&lt;=$C$5,0,HLOOKUP(L$55,'Input data'!$C$9:$BB$26,12,FALSE)-HLOOKUP($C$5,'Input data'!$C$9:$BB$26,12,FALSE))</f>
        <v>1.0351099999999995</v>
      </c>
      <c r="M63" s="1">
        <f>IF(M$55&lt;=$C$5,0,HLOOKUP(M$55,'Input data'!$C$9:$BB$26,12,FALSE)-HLOOKUP($C$5,'Input data'!$C$9:$BB$26,12,FALSE))</f>
        <v>1.2730299999999986</v>
      </c>
      <c r="N63" s="1">
        <f>IF(N$55&lt;=$C$5,0,HLOOKUP(N$55,'Input data'!$C$9:$BB$26,12,FALSE)-HLOOKUP($C$5,'Input data'!$C$9:$BB$26,12,FALSE))</f>
        <v>1.4637899999999995</v>
      </c>
      <c r="O63" s="1">
        <f>IF(O$55&lt;=$C$5,0,HLOOKUP(O$55,'Input data'!$C$9:$BB$26,12,FALSE)-HLOOKUP($C$5,'Input data'!$C$9:$BB$26,12,FALSE))</f>
        <v>1.6939199999999985</v>
      </c>
      <c r="P63" s="1">
        <f>IF(P$55&lt;=$C$5,0,HLOOKUP(P$55,'Input data'!$C$9:$BB$26,12,FALSE)-HLOOKUP($C$5,'Input data'!$C$9:$BB$26,12,FALSE))</f>
        <v>1.8444000000000038</v>
      </c>
      <c r="Q63" s="1">
        <f>IF(Q$55&lt;=$C$5,0,HLOOKUP(Q$55,'Input data'!$C$9:$BB$26,12,FALSE)-HLOOKUP($C$5,'Input data'!$C$9:$BB$26,12,FALSE))</f>
        <v>2.0550900000000034</v>
      </c>
      <c r="R63" s="1">
        <f>IF(R$55&lt;=$C$5,0,HLOOKUP(R$55,'Input data'!$C$9:$BB$26,12,FALSE)-HLOOKUP($C$5,'Input data'!$C$9:$BB$26,12,FALSE))</f>
        <v>2.1979500000000023</v>
      </c>
      <c r="S63" s="1">
        <f>IF(S$55&lt;=$C$5,0,HLOOKUP(S$55,'Input data'!$C$9:$BB$26,12,FALSE)-HLOOKUP($C$5,'Input data'!$C$9:$BB$26,12,FALSE))</f>
        <v>2.3082300000000053</v>
      </c>
      <c r="T63" s="1">
        <f>IF(T$55&lt;=$C$5,0,HLOOKUP(T$55,'Input data'!$C$9:$BB$26,12,FALSE)-HLOOKUP($C$5,'Input data'!$C$9:$BB$26,12,FALSE))</f>
        <v>2.4108399999999968</v>
      </c>
      <c r="U63" s="1">
        <f>IF(U$55&lt;=$C$5,0,HLOOKUP(U$55,'Input data'!$C$9:$BB$26,12,FALSE)-HLOOKUP($C$5,'Input data'!$C$9:$BB$26,12,FALSE))</f>
        <v>2.2064699999999995</v>
      </c>
      <c r="V63" s="1">
        <f>IF(V$55&lt;=$C$5,0,HLOOKUP(V$55,'Input data'!$C$9:$BB$26,12,FALSE)-HLOOKUP($C$5,'Input data'!$C$9:$BB$26,12,FALSE))</f>
        <v>2.3900000000000041</v>
      </c>
      <c r="W63" s="1">
        <f>IF(W$55&lt;=$C$5,0,HLOOKUP(W$55,'Input data'!$C$9:$BB$26,12,FALSE)-HLOOKUP($C$5,'Input data'!$C$9:$BB$26,12,FALSE))</f>
        <v>2.4033000000000015</v>
      </c>
    </row>
    <row r="64" spans="2:48" outlineLevel="1" x14ac:dyDescent="0.2">
      <c r="B64" s="79" t="s">
        <v>112</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6.1476000000000308E-3</v>
      </c>
      <c r="H64" s="1">
        <f>IF(H$55&lt;=$C$5,0,-HLOOKUP(H$55,'Input data'!$C$9:$BB$26,18,FALSE)+HLOOKUP($C$5,'Input data'!$C$9:$BB$26,18,FALSE))</f>
        <v>1.2295300000000009E-2</v>
      </c>
      <c r="I64" s="1">
        <f>IF(I$55&lt;=$C$5,0,-HLOOKUP(I$55,'Input data'!$C$9:$BB$26,18,FALSE)+HLOOKUP($C$5,'Input data'!$C$9:$BB$26,18,FALSE))</f>
        <v>1.8443000000000043E-2</v>
      </c>
      <c r="J64" s="1">
        <f>IF(J$55&lt;=$C$5,0,-HLOOKUP(J$55,'Input data'!$C$9:$BB$26,18,FALSE)+HLOOKUP($C$5,'Input data'!$C$9:$BB$26,18,FALSE))</f>
        <v>2.4590700000000021E-2</v>
      </c>
      <c r="K64" s="1">
        <f>IF(K$55&lt;=$C$5,0,-HLOOKUP(K$55,'Input data'!$C$9:$BB$26,18,FALSE)+HLOOKUP($C$5,'Input data'!$C$9:$BB$26,18,FALSE))</f>
        <v>3.0738399999999999E-2</v>
      </c>
      <c r="L64" s="1">
        <f>IF(L$55&lt;=$C$5,0,-HLOOKUP(L$55,'Input data'!$C$9:$BB$26,18,FALSE)+HLOOKUP($C$5,'Input data'!$C$9:$BB$26,18,FALSE))</f>
        <v>3.6886100000000033E-2</v>
      </c>
      <c r="M64" s="1">
        <f>IF(M$55&lt;=$C$5,0,-HLOOKUP(M$55,'Input data'!$C$9:$BB$26,18,FALSE)+HLOOKUP($C$5,'Input data'!$C$9:$BB$26,18,FALSE))</f>
        <v>4.3033700000000008E-2</v>
      </c>
      <c r="N64" s="1">
        <f>IF(N$55&lt;=$C$5,0,-HLOOKUP(N$55,'Input data'!$C$9:$BB$26,18,FALSE)+HLOOKUP($C$5,'Input data'!$C$9:$BB$26,18,FALSE))</f>
        <v>4.9181400000000042E-2</v>
      </c>
      <c r="O64" s="1">
        <f>IF(O$55&lt;=$C$5,0,-HLOOKUP(O$55,'Input data'!$C$9:$BB$26,18,FALSE)+HLOOKUP($C$5,'Input data'!$C$9:$BB$26,18,FALSE))</f>
        <v>5.532910000000002E-2</v>
      </c>
      <c r="P64" s="1">
        <f>IF(P$55&lt;=$C$5,0,-HLOOKUP(P$55,'Input data'!$C$9:$BB$26,18,FALSE)+HLOOKUP($C$5,'Input data'!$C$9:$BB$26,18,FALSE))</f>
        <v>6.1476800000000054E-2</v>
      </c>
      <c r="Q64" s="1">
        <f>IF(Q$55&lt;=$C$5,0,-HLOOKUP(Q$55,'Input data'!$C$9:$BB$26,18,FALSE)+HLOOKUP($C$5,'Input data'!$C$9:$BB$26,18,FALSE))</f>
        <v>6.7624500000000032E-2</v>
      </c>
      <c r="R64" s="1">
        <f>IF(R$55&lt;=$C$5,0,-HLOOKUP(R$55,'Input data'!$C$9:$BB$26,18,FALSE)+HLOOKUP($C$5,'Input data'!$C$9:$BB$26,18,FALSE))</f>
        <v>7.377220000000001E-2</v>
      </c>
      <c r="S64" s="1">
        <f>IF(S$55&lt;=$C$5,0,-HLOOKUP(S$55,'Input data'!$C$9:$BB$26,18,FALSE)+HLOOKUP($C$5,'Input data'!$C$9:$BB$26,18,FALSE))</f>
        <v>7.9919800000000041E-2</v>
      </c>
      <c r="T64" s="1">
        <f>IF(T$55&lt;=$C$5,0,-HLOOKUP(T$55,'Input data'!$C$9:$BB$26,18,FALSE)+HLOOKUP($C$5,'Input data'!$C$9:$BB$26,18,FALSE))</f>
        <v>8.6067500000000019E-2</v>
      </c>
      <c r="U64" s="1">
        <f>IF(U$55&lt;=$C$5,0,-HLOOKUP(U$55,'Input data'!$C$9:$BB$26,18,FALSE)+HLOOKUP($C$5,'Input data'!$C$9:$BB$26,18,FALSE))</f>
        <v>9.2215200000000053E-2</v>
      </c>
      <c r="V64" s="1">
        <f>IF(V$55&lt;=$C$5,0,-HLOOKUP(V$55,'Input data'!$C$9:$BB$26,18,FALSE)+HLOOKUP($C$5,'Input data'!$C$9:$BB$26,18,FALSE))</f>
        <v>9.8362900000000031E-2</v>
      </c>
      <c r="W64" s="1">
        <f>IF(W$55&lt;=$C$5,0,-HLOOKUP(W$55,'Input data'!$C$9:$BB$26,18,FALSE)+HLOOKUP($C$5,'Input data'!$C$9:$BB$26,18,FALSE))</f>
        <v>0.10451060000000001</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SUM(D67:D70)</f>
        <v>-8.7130919999999996</v>
      </c>
      <c r="E66" s="48">
        <f t="shared" ref="E66:T66" si="25">SUM(E67:E70)</f>
        <v>-4.3880540000000003</v>
      </c>
      <c r="F66" s="48">
        <f t="shared" si="25"/>
        <v>-3.398539</v>
      </c>
      <c r="G66" s="48">
        <f>SUM(G67:G70)</f>
        <v>-2.3762249999999998</v>
      </c>
      <c r="H66" s="48">
        <f t="shared" si="25"/>
        <v>-1.6290086376226469</v>
      </c>
      <c r="I66" s="48">
        <f t="shared" si="25"/>
        <v>-1.0465396226775927</v>
      </c>
      <c r="J66" s="48">
        <f t="shared" si="25"/>
        <v>-0.94269119233959098</v>
      </c>
      <c r="K66" s="48">
        <f t="shared" si="25"/>
        <v>-0.85286137459376243</v>
      </c>
      <c r="L66" s="48">
        <f t="shared" si="25"/>
        <v>-0.70258808198489697</v>
      </c>
      <c r="M66" s="48">
        <f t="shared" si="25"/>
        <v>-0.59472138352470594</v>
      </c>
      <c r="N66" s="48">
        <f t="shared" si="25"/>
        <v>-0.50997582809084208</v>
      </c>
      <c r="O66" s="48">
        <f t="shared" si="25"/>
        <v>-0.45722408726389885</v>
      </c>
      <c r="P66" s="48">
        <f t="shared" si="25"/>
        <v>-0.42786093630520405</v>
      </c>
      <c r="Q66" s="48">
        <f t="shared" si="25"/>
        <v>-0.40149701640254887</v>
      </c>
      <c r="R66" s="48">
        <f t="shared" si="25"/>
        <v>-0.37786685718224255</v>
      </c>
      <c r="S66" s="48">
        <f t="shared" si="25"/>
        <v>-0.36422915379193521</v>
      </c>
      <c r="T66" s="48">
        <f t="shared" si="25"/>
        <v>-0.34122383706085746</v>
      </c>
      <c r="U66" s="48">
        <f t="shared" ref="U66:W66" si="26">SUM(U67:U70)</f>
        <v>-0.3246413883172008</v>
      </c>
      <c r="V66" s="48">
        <f t="shared" si="26"/>
        <v>-0.3097975306356654</v>
      </c>
      <c r="W66" s="48">
        <f t="shared" si="26"/>
        <v>-0.26821051745666324</v>
      </c>
    </row>
    <row r="67" spans="2:23" outlineLevel="1" x14ac:dyDescent="0.2">
      <c r="B67" s="79" t="s">
        <v>115</v>
      </c>
      <c r="C67" s="34"/>
      <c r="D67" s="34">
        <f t="shared" ref="D67:W67" si="27">C56*D35/100*(1/(1+D32/100))</f>
        <v>1.4681210303537406</v>
      </c>
      <c r="E67" s="34">
        <f t="shared" si="27"/>
        <v>1.4419332710000843</v>
      </c>
      <c r="F67" s="34">
        <f t="shared" si="27"/>
        <v>1.3831494751458222</v>
      </c>
      <c r="G67" s="34">
        <f>F56*G35/100*(1/(1+G32/100))</f>
        <v>1.2767786110391002</v>
      </c>
      <c r="H67" s="34">
        <f>G56*H35/100*(1/(1+H32/100))</f>
        <v>1.2941333965502111</v>
      </c>
      <c r="I67" s="34">
        <f t="shared" si="27"/>
        <v>1.2962090462500928</v>
      </c>
      <c r="J67" s="34">
        <f t="shared" si="27"/>
        <v>1.2946219257326275</v>
      </c>
      <c r="K67" s="34">
        <f t="shared" si="27"/>
        <v>1.2914521781273516</v>
      </c>
      <c r="L67" s="34">
        <f t="shared" si="27"/>
        <v>1.2710362747738424</v>
      </c>
      <c r="M67" s="34">
        <f t="shared" si="27"/>
        <v>1.2427900136606864</v>
      </c>
      <c r="N67" s="34">
        <f t="shared" si="27"/>
        <v>1.2179811876203577</v>
      </c>
      <c r="O67" s="34">
        <f t="shared" si="27"/>
        <v>1.1716576383867445</v>
      </c>
      <c r="P67" s="34">
        <f t="shared" si="27"/>
        <v>1.129506717257122</v>
      </c>
      <c r="Q67" s="34">
        <f t="shared" si="27"/>
        <v>1.090179448061761</v>
      </c>
      <c r="R67" s="34">
        <f t="shared" si="27"/>
        <v>1.0564322323878756</v>
      </c>
      <c r="S67" s="34">
        <f t="shared" si="27"/>
        <v>1.0256528589653613</v>
      </c>
      <c r="T67" s="34">
        <f t="shared" si="27"/>
        <v>0.99767919152528928</v>
      </c>
      <c r="U67" s="34">
        <f t="shared" si="27"/>
        <v>0.97131623887067553</v>
      </c>
      <c r="V67" s="34">
        <f t="shared" si="27"/>
        <v>0.93588648242356542</v>
      </c>
      <c r="W67" s="34">
        <f t="shared" si="27"/>
        <v>0.90697903601304564</v>
      </c>
    </row>
    <row r="68" spans="2:23" outlineLevel="1" x14ac:dyDescent="0.2">
      <c r="B68" s="79" t="s">
        <v>116</v>
      </c>
      <c r="C68" s="34"/>
      <c r="D68" s="34">
        <f t="shared" ref="D68:W68" si="28">-C56*(D23/100)*(1/(1+D32/100))</f>
        <v>-4.5050520510522478</v>
      </c>
      <c r="E68" s="34">
        <f t="shared" si="28"/>
        <v>-1.9632130629281277</v>
      </c>
      <c r="F68" s="34">
        <f t="shared" si="28"/>
        <v>-2.0145737556775938</v>
      </c>
      <c r="G68" s="34">
        <f t="shared" si="28"/>
        <v>-2.0155355707128706</v>
      </c>
      <c r="H68" s="34">
        <f t="shared" si="28"/>
        <v>-1.3826047482683055</v>
      </c>
      <c r="I68" s="34">
        <f t="shared" si="28"/>
        <v>-0.90339926804900827</v>
      </c>
      <c r="J68" s="34">
        <f t="shared" si="28"/>
        <v>-0.87707970982712202</v>
      </c>
      <c r="K68" s="34">
        <f t="shared" si="28"/>
        <v>-0.8558775050149755</v>
      </c>
      <c r="L68" s="34">
        <f t="shared" si="28"/>
        <v>-0.7590400145013364</v>
      </c>
      <c r="M68" s="34">
        <f t="shared" si="28"/>
        <v>-0.68861448345240139</v>
      </c>
      <c r="N68" s="34">
        <f t="shared" si="28"/>
        <v>-0.63736892191629646</v>
      </c>
      <c r="O68" s="34">
        <f t="shared" si="28"/>
        <v>-0.59075108661262732</v>
      </c>
      <c r="P68" s="34">
        <f t="shared" si="28"/>
        <v>-0.58404986472787013</v>
      </c>
      <c r="Q68" s="34">
        <f t="shared" si="28"/>
        <v>-0.5775033897432994</v>
      </c>
      <c r="R68" s="34">
        <f t="shared" si="28"/>
        <v>-0.57237008413595691</v>
      </c>
      <c r="S68" s="34">
        <f t="shared" si="28"/>
        <v>-0.57516748343884827</v>
      </c>
      <c r="T68" s="34">
        <f t="shared" si="28"/>
        <v>-0.56751127161688653</v>
      </c>
      <c r="U68" s="34">
        <f t="shared" si="28"/>
        <v>-0.5640591073117901</v>
      </c>
      <c r="V68" s="34">
        <f t="shared" si="28"/>
        <v>-0.55677064416599442</v>
      </c>
      <c r="W68" s="34">
        <f t="shared" si="28"/>
        <v>-0.52381688609650179</v>
      </c>
    </row>
    <row r="69" spans="2:23" outlineLevel="1" x14ac:dyDescent="0.2">
      <c r="B69" s="79" t="s">
        <v>117</v>
      </c>
      <c r="C69" s="34"/>
      <c r="D69" s="34">
        <f>-C56*D41/100*(1/(1+D41/100))</f>
        <v>-5.6761618041690971</v>
      </c>
      <c r="E69" s="34">
        <f t="shared" ref="E69:T69" si="29">-D56*E41/100*(1/(1+E41/100))</f>
        <v>-3.8667753439880266</v>
      </c>
      <c r="F69" s="34">
        <f>-E56*F41/100*(1/(1+F41/100))</f>
        <v>-2.7671158929224595</v>
      </c>
      <c r="G69" s="34">
        <f>-F56*G41/100*(1/(1+G41/100))</f>
        <v>-1.6374699620313513</v>
      </c>
      <c r="H69" s="34">
        <f t="shared" si="29"/>
        <v>-1.5405372859045525</v>
      </c>
      <c r="I69" s="34">
        <f t="shared" si="29"/>
        <v>-1.4393494008786774</v>
      </c>
      <c r="J69" s="34">
        <f t="shared" si="29"/>
        <v>-1.3602334082450964</v>
      </c>
      <c r="K69" s="34">
        <f t="shared" si="29"/>
        <v>-1.2884360477061385</v>
      </c>
      <c r="L69" s="34">
        <f t="shared" si="29"/>
        <v>-1.214584342257403</v>
      </c>
      <c r="M69" s="34">
        <f t="shared" si="29"/>
        <v>-1.148896913732991</v>
      </c>
      <c r="N69" s="34">
        <f t="shared" si="29"/>
        <v>-1.0905880937949033</v>
      </c>
      <c r="O69" s="34">
        <f t="shared" si="29"/>
        <v>-1.0381306390380161</v>
      </c>
      <c r="P69" s="34">
        <f t="shared" si="29"/>
        <v>-0.97331778883445597</v>
      </c>
      <c r="Q69" s="34">
        <f t="shared" si="29"/>
        <v>-0.9141730747210105</v>
      </c>
      <c r="R69" s="34">
        <f t="shared" si="29"/>
        <v>-0.86192900543416129</v>
      </c>
      <c r="S69" s="34">
        <f t="shared" si="29"/>
        <v>-0.81471452931844823</v>
      </c>
      <c r="T69" s="34">
        <f t="shared" si="29"/>
        <v>-0.77139175696926021</v>
      </c>
      <c r="U69" s="34">
        <f t="shared" ref="U69" si="30">-T56*U41/100*(1/(1+U41/100))</f>
        <v>-0.73189851987608623</v>
      </c>
      <c r="V69" s="34">
        <f t="shared" ref="V69" si="31">-U56*V41/100*(1/(1+V41/100))</f>
        <v>-0.6889133688932364</v>
      </c>
      <c r="W69" s="34">
        <f t="shared" ref="W69" si="32">-V56*W41/100*(1/(1+W41/100))</f>
        <v>-0.65137266737320709</v>
      </c>
    </row>
    <row r="70" spans="2:23" outlineLevel="1" x14ac:dyDescent="0.2">
      <c r="B70" s="79" t="s">
        <v>118</v>
      </c>
      <c r="C70" s="49"/>
      <c r="D70" s="49">
        <v>8.24867605331292E-7</v>
      </c>
      <c r="E70" s="49">
        <v>1.1359160696500226E-6</v>
      </c>
      <c r="F70" s="49">
        <v>1.1734542311181428E-6</v>
      </c>
      <c r="G70" s="49">
        <v>1.9217051221431802E-6</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4" t="s">
        <v>119</v>
      </c>
      <c r="C71" s="50"/>
      <c r="D71" s="50">
        <f>'Input data'!D16</f>
        <v>-0.74486079999999999</v>
      </c>
      <c r="E71" s="50">
        <f>'Input data'!E16</f>
        <v>0.60125799999999996</v>
      </c>
      <c r="F71" s="50">
        <f>'Input data'!F16</f>
        <v>0.99131349999999996</v>
      </c>
      <c r="G71" s="50">
        <f>'Input data'!G16</f>
        <v>1.300673</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3">D14</f>
        <v>-0.74485959999999996</v>
      </c>
      <c r="E72" s="34">
        <f t="shared" si="33"/>
        <v>0.60125580000000001</v>
      </c>
      <c r="F72" s="34">
        <f t="shared" si="33"/>
        <v>0.99131420000000003</v>
      </c>
      <c r="G72" s="34">
        <f t="shared" si="33"/>
        <v>1.300675</v>
      </c>
      <c r="H72" s="34">
        <f>H14</f>
        <v>0</v>
      </c>
      <c r="I72" s="34">
        <f t="shared" si="33"/>
        <v>0</v>
      </c>
      <c r="J72" s="34">
        <f t="shared" si="33"/>
        <v>0</v>
      </c>
      <c r="K72" s="34">
        <f t="shared" si="33"/>
        <v>0</v>
      </c>
      <c r="L72" s="34">
        <f t="shared" si="33"/>
        <v>0</v>
      </c>
      <c r="M72" s="34">
        <f t="shared" si="33"/>
        <v>0</v>
      </c>
      <c r="N72" s="34">
        <f t="shared" si="33"/>
        <v>0</v>
      </c>
      <c r="O72" s="34">
        <f t="shared" si="33"/>
        <v>0</v>
      </c>
      <c r="P72" s="34">
        <f t="shared" si="33"/>
        <v>0</v>
      </c>
      <c r="Q72" s="34">
        <f t="shared" si="33"/>
        <v>0</v>
      </c>
      <c r="R72" s="34">
        <f t="shared" si="33"/>
        <v>0</v>
      </c>
      <c r="S72" s="34">
        <f t="shared" si="33"/>
        <v>0</v>
      </c>
      <c r="T72" s="34">
        <f t="shared" si="33"/>
        <v>0</v>
      </c>
      <c r="U72" s="34">
        <f t="shared" si="33"/>
        <v>0</v>
      </c>
      <c r="V72" s="34">
        <f t="shared" si="33"/>
        <v>0</v>
      </c>
      <c r="W72" s="34">
        <f t="shared" si="33"/>
        <v>0</v>
      </c>
    </row>
    <row r="73" spans="2:23" outlineLevel="1" x14ac:dyDescent="0.2">
      <c r="B73" s="89" t="s">
        <v>121</v>
      </c>
      <c r="C73" s="49"/>
      <c r="D73" s="49">
        <f>+D71-D72</f>
        <v>-1.2000000000345068E-6</v>
      </c>
      <c r="E73" s="49">
        <f t="shared" ref="E73:T73" si="34">+E71-E72</f>
        <v>2.1999999999522402E-6</v>
      </c>
      <c r="F73" s="49">
        <f>+F71-F72</f>
        <v>-7.0000000007564012E-7</v>
      </c>
      <c r="G73" s="49">
        <f t="shared" si="34"/>
        <v>-2.0000000000575113E-6</v>
      </c>
      <c r="H73" s="49">
        <f t="shared" si="34"/>
        <v>0</v>
      </c>
      <c r="I73" s="49">
        <f t="shared" si="34"/>
        <v>0</v>
      </c>
      <c r="J73" s="49">
        <f t="shared" si="34"/>
        <v>0</v>
      </c>
      <c r="K73" s="49">
        <f t="shared" si="34"/>
        <v>0</v>
      </c>
      <c r="L73" s="49">
        <f t="shared" si="34"/>
        <v>0</v>
      </c>
      <c r="M73" s="49">
        <f t="shared" si="34"/>
        <v>0</v>
      </c>
      <c r="N73" s="49">
        <f t="shared" si="34"/>
        <v>0</v>
      </c>
      <c r="O73" s="49">
        <f t="shared" si="34"/>
        <v>0</v>
      </c>
      <c r="P73" s="49">
        <f t="shared" si="34"/>
        <v>0</v>
      </c>
      <c r="Q73" s="49">
        <f t="shared" si="34"/>
        <v>0</v>
      </c>
      <c r="R73" s="49">
        <f t="shared" si="34"/>
        <v>0</v>
      </c>
      <c r="S73" s="49">
        <f t="shared" si="34"/>
        <v>0</v>
      </c>
      <c r="T73" s="49">
        <f t="shared" si="34"/>
        <v>0</v>
      </c>
      <c r="U73" s="49">
        <f t="shared" ref="U73:W73" si="35">+U71-U72</f>
        <v>0</v>
      </c>
      <c r="V73" s="49">
        <f t="shared" si="35"/>
        <v>0</v>
      </c>
      <c r="W73" s="49">
        <f t="shared" si="35"/>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1" t="s">
        <v>122</v>
      </c>
    </row>
    <row r="76" spans="2:23" x14ac:dyDescent="0.2">
      <c r="B76" s="77" t="s">
        <v>41</v>
      </c>
      <c r="C76" s="77"/>
      <c r="D76" s="78">
        <f>D58-D67</f>
        <v>2.7288683247593903</v>
      </c>
      <c r="E76" s="78">
        <f t="shared" ref="E76:T76" si="36">E58-E67</f>
        <v>3.0821182519268051</v>
      </c>
      <c r="F76" s="78">
        <f t="shared" si="36"/>
        <v>2.914120271626587</v>
      </c>
      <c r="G76" s="78">
        <f t="shared" si="36"/>
        <v>2.4172679140699458</v>
      </c>
      <c r="H76" s="78">
        <f t="shared" si="36"/>
        <v>1.9421759706557464</v>
      </c>
      <c r="I76" s="78">
        <f t="shared" si="36"/>
        <v>1.5108354775927393</v>
      </c>
      <c r="J76" s="78">
        <f t="shared" si="36"/>
        <v>1.2447471268162171</v>
      </c>
      <c r="K76" s="78">
        <f t="shared" si="36"/>
        <v>1.3624791744214866</v>
      </c>
      <c r="L76" s="78">
        <f t="shared" si="36"/>
        <v>1.139368370124604</v>
      </c>
      <c r="M76" s="78">
        <f t="shared" si="36"/>
        <v>0.92354703123776072</v>
      </c>
      <c r="N76" s="78">
        <f t="shared" si="36"/>
        <v>0.75144716417151636</v>
      </c>
      <c r="O76" s="78">
        <f t="shared" si="36"/>
        <v>0.5614940067781109</v>
      </c>
      <c r="P76" s="78">
        <f t="shared" si="36"/>
        <v>0.44701623516546363</v>
      </c>
      <c r="Q76" s="78">
        <f t="shared" si="36"/>
        <v>0.26950431619237269</v>
      </c>
      <c r="R76" s="78">
        <f t="shared" si="36"/>
        <v>0.15424234464154241</v>
      </c>
      <c r="S76" s="78">
        <f t="shared" si="36"/>
        <v>6.8592632109699458E-2</v>
      </c>
      <c r="T76" s="78">
        <f t="shared" si="36"/>
        <v>-1.2190905395652707E-2</v>
      </c>
      <c r="U76" s="78">
        <f t="shared" ref="U76:W76" si="37">U58-U67</f>
        <v>0.21239632620317561</v>
      </c>
      <c r="V76" s="78">
        <f t="shared" si="37"/>
        <v>5.8148382650281105E-2</v>
      </c>
      <c r="W76" s="78">
        <f t="shared" si="37"/>
        <v>6.7607634504461833E-2</v>
      </c>
    </row>
    <row r="77" spans="2:23" x14ac:dyDescent="0.2">
      <c r="B77" s="26" t="s">
        <v>42</v>
      </c>
      <c r="D77" s="34">
        <f>D59-D67-D63-D64-D65</f>
        <v>0.61943696964625938</v>
      </c>
      <c r="E77" s="34">
        <f>E59-E67-E63-E64-E65</f>
        <v>1.7851137289999159</v>
      </c>
      <c r="F77" s="34">
        <f t="shared" ref="F77:W77" si="38">F59-F67-F63-F64-F65</f>
        <v>2.0992555248541778</v>
      </c>
      <c r="G77" s="34">
        <f t="shared" si="38"/>
        <v>1.8630187889608936</v>
      </c>
      <c r="H77" s="34">
        <f t="shared" si="38"/>
        <v>1.5726763034497884</v>
      </c>
      <c r="I77" s="34">
        <f t="shared" si="38"/>
        <v>1.3876729537499091</v>
      </c>
      <c r="J77" s="34">
        <f t="shared" si="38"/>
        <v>1.2447523742673754</v>
      </c>
      <c r="K77" s="34">
        <f t="shared" si="38"/>
        <v>1.3624844218726506</v>
      </c>
      <c r="L77" s="34">
        <f t="shared" si="38"/>
        <v>1.139372625226158</v>
      </c>
      <c r="M77" s="34">
        <f t="shared" si="38"/>
        <v>0.92355128633931516</v>
      </c>
      <c r="N77" s="34">
        <f t="shared" si="38"/>
        <v>0.751452412379643</v>
      </c>
      <c r="O77" s="34">
        <f t="shared" si="38"/>
        <v>0.56149826161325689</v>
      </c>
      <c r="P77" s="34">
        <f t="shared" si="38"/>
        <v>0.44702148274287384</v>
      </c>
      <c r="Q77" s="34">
        <f t="shared" si="38"/>
        <v>0.26951105193823549</v>
      </c>
      <c r="R77" s="34">
        <f t="shared" si="38"/>
        <v>0.15425056761212202</v>
      </c>
      <c r="S77" s="34">
        <f t="shared" si="38"/>
        <v>6.8602341034633529E-2</v>
      </c>
      <c r="T77" s="34">
        <f t="shared" si="38"/>
        <v>-1.2181691525285976E-2</v>
      </c>
      <c r="U77" s="34">
        <f t="shared" si="38"/>
        <v>0.2124035611293249</v>
      </c>
      <c r="V77" s="34">
        <f t="shared" si="38"/>
        <v>5.8155617576430285E-2</v>
      </c>
      <c r="W77" s="34">
        <f t="shared" si="38"/>
        <v>6.7615363986952781E-2</v>
      </c>
    </row>
    <row r="78" spans="2:23" x14ac:dyDescent="0.2">
      <c r="B78" s="35" t="s">
        <v>123</v>
      </c>
      <c r="C78" s="35"/>
      <c r="D78" s="285">
        <f>'Input data'!D45</f>
        <v>7.9711163322024241</v>
      </c>
      <c r="E78" s="285">
        <f>'Input data'!E45</f>
        <v>11.892187700351846</v>
      </c>
      <c r="F78" s="285">
        <f>'Input data'!F45</f>
        <v>6.9571484833848753</v>
      </c>
      <c r="G78" s="49">
        <f>'Input data'!G33+G41-(G$12-F$12)/'Input data'!$C$64*100</f>
        <v>5.9135439999999999</v>
      </c>
      <c r="H78" s="49">
        <f>'Input data'!H33+H41-(H$12-G$12)/'Input data'!$C$64*100</f>
        <v>4.9674303750000002</v>
      </c>
      <c r="I78" s="49">
        <f>'Input data'!I33+I41-(I$12-H$12)/'Input data'!$C$64*100</f>
        <v>4.45550975</v>
      </c>
      <c r="J78" s="49">
        <f>'Input data'!J33+J41-(J$12-I$12)/'Input data'!$C$64*100</f>
        <v>4.2879221249999997</v>
      </c>
      <c r="K78" s="49">
        <f>'Input data'!K33+K41-(K$12-J$12)/'Input data'!$C$64*100</f>
        <v>4.1255884999999992</v>
      </c>
      <c r="L78" s="49">
        <f>'Input data'!L33+L41-(L$12-K$12)/'Input data'!$C$64*100</f>
        <v>4.0615158749999996</v>
      </c>
      <c r="M78" s="49">
        <f>'Input data'!M33+M41-(M$12-L$12)/'Input data'!$C$64*100</f>
        <v>4.0313812499999999</v>
      </c>
      <c r="N78" s="49">
        <f>'Input data'!N33+N41-(N$12-M$12)/'Input data'!$C$64*100</f>
        <v>4.0278136250000003</v>
      </c>
      <c r="O78" s="49">
        <f>'Input data'!O33+O41-(O$12-N$12)/'Input data'!$C$64*100</f>
        <v>4.0224489999999999</v>
      </c>
      <c r="P78" s="49">
        <f>'Input data'!P33+P41-(P$12-O$12)/'Input data'!$C$64*100</f>
        <v>4.0594190000000001</v>
      </c>
      <c r="Q78" s="49">
        <f>'Input data'!Q33+Q41-(Q$12-P$12)/'Input data'!$C$64*100</f>
        <v>4.0963899999999995</v>
      </c>
      <c r="R78" s="49">
        <f>'Input data'!R33+R41-(R$12-Q$12)/'Input data'!$C$64*100</f>
        <v>4.1333599999999997</v>
      </c>
      <c r="S78" s="49">
        <f>'Input data'!S33+S41-(S$12-R$12)/'Input data'!$C$64*100</f>
        <v>4.1927729999999999</v>
      </c>
      <c r="T78" s="49">
        <f>'Input data'!T33+T41-(T$12-S$12)/'Input data'!$C$64*100</f>
        <v>4.2194409999999998</v>
      </c>
      <c r="U78" s="49">
        <f>'Input data'!U33+U41-(U$12-T$12)/'Input data'!$C$64*100</f>
        <v>4.2574839999999998</v>
      </c>
      <c r="V78" s="49">
        <f>'Input data'!V33+V41-(V$12-U$12)/'Input data'!$C$64*100</f>
        <v>4.2998069999999995</v>
      </c>
      <c r="W78" s="49">
        <f>'Input data'!W33+W41-(W$12-V$12)/'Input data'!$C$64*100</f>
        <v>4.2395050000000003</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3" customFormat="1" ht="12.75" outlineLevel="1" x14ac:dyDescent="0.2">
      <c r="B81" s="94" t="s">
        <v>124</v>
      </c>
      <c r="C81" s="95"/>
      <c r="E81" s="96"/>
      <c r="F81" s="95"/>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125</v>
      </c>
      <c r="D83" s="29">
        <f t="shared" ref="D83:W83" si="39">IF((D87-C87*D42/((1+D23/100)*(1+D41/100)))&gt;0,1,0)</f>
        <v>0</v>
      </c>
      <c r="E83" s="29">
        <f t="shared" si="39"/>
        <v>0</v>
      </c>
      <c r="F83" s="29">
        <f t="shared" si="39"/>
        <v>0</v>
      </c>
      <c r="G83" s="29">
        <f t="shared" si="39"/>
        <v>0</v>
      </c>
      <c r="H83" s="29">
        <f t="shared" si="39"/>
        <v>0</v>
      </c>
      <c r="I83" s="29">
        <f t="shared" si="39"/>
        <v>0</v>
      </c>
      <c r="J83" s="29">
        <f t="shared" si="39"/>
        <v>0</v>
      </c>
      <c r="K83" s="29">
        <f t="shared" si="39"/>
        <v>0</v>
      </c>
      <c r="L83" s="29">
        <f t="shared" si="39"/>
        <v>0</v>
      </c>
      <c r="M83" s="29">
        <f t="shared" si="39"/>
        <v>0</v>
      </c>
      <c r="N83" s="29">
        <f t="shared" si="39"/>
        <v>0</v>
      </c>
      <c r="O83" s="29">
        <f t="shared" si="39"/>
        <v>0</v>
      </c>
      <c r="P83" s="29">
        <f t="shared" si="39"/>
        <v>0</v>
      </c>
      <c r="Q83" s="29">
        <f t="shared" si="39"/>
        <v>0</v>
      </c>
      <c r="R83" s="29">
        <f t="shared" si="39"/>
        <v>0</v>
      </c>
      <c r="S83" s="29">
        <f t="shared" si="39"/>
        <v>0</v>
      </c>
      <c r="T83" s="29">
        <f t="shared" si="39"/>
        <v>1</v>
      </c>
      <c r="U83" s="29">
        <f t="shared" si="39"/>
        <v>0</v>
      </c>
      <c r="V83" s="29">
        <f t="shared" si="39"/>
        <v>0</v>
      </c>
      <c r="W83" s="29">
        <f t="shared" si="39"/>
        <v>0</v>
      </c>
    </row>
    <row r="84" spans="2:23" x14ac:dyDescent="0.2">
      <c r="B84" s="26" t="s">
        <v>126</v>
      </c>
      <c r="D84" s="29">
        <f t="shared" ref="D84:W84" si="40">IF(AND(D83=0,ABS(D87-C87*D42/((1+D23/100)*(1+D41/100)))&lt;((C93*C87*D42/((1+D23/100)*(1+D41/100))+(D38*C87*C94*D42/((1+D23/100)*(1+D41/100)))))),1,0)</f>
        <v>0</v>
      </c>
      <c r="E84" s="29">
        <f t="shared" si="40"/>
        <v>1</v>
      </c>
      <c r="F84" s="29">
        <f t="shared" si="40"/>
        <v>1</v>
      </c>
      <c r="G84" s="29">
        <f t="shared" si="40"/>
        <v>1</v>
      </c>
      <c r="H84" s="29">
        <f t="shared" si="40"/>
        <v>1</v>
      </c>
      <c r="I84" s="29">
        <f t="shared" si="40"/>
        <v>1</v>
      </c>
      <c r="J84" s="29">
        <f t="shared" si="40"/>
        <v>1</v>
      </c>
      <c r="K84" s="29">
        <f t="shared" si="40"/>
        <v>1</v>
      </c>
      <c r="L84" s="29">
        <f t="shared" si="40"/>
        <v>1</v>
      </c>
      <c r="M84" s="29">
        <f t="shared" si="40"/>
        <v>1</v>
      </c>
      <c r="N84" s="29">
        <f t="shared" si="40"/>
        <v>1</v>
      </c>
      <c r="O84" s="29">
        <f t="shared" si="40"/>
        <v>1</v>
      </c>
      <c r="P84" s="29">
        <f t="shared" si="40"/>
        <v>1</v>
      </c>
      <c r="Q84" s="29">
        <f t="shared" si="40"/>
        <v>1</v>
      </c>
      <c r="R84" s="29">
        <f t="shared" si="40"/>
        <v>1</v>
      </c>
      <c r="S84" s="29">
        <f t="shared" si="40"/>
        <v>1</v>
      </c>
      <c r="T84" s="29">
        <f t="shared" si="40"/>
        <v>0</v>
      </c>
      <c r="U84" s="29">
        <f t="shared" si="40"/>
        <v>1</v>
      </c>
      <c r="V84" s="29">
        <f t="shared" si="40"/>
        <v>1</v>
      </c>
      <c r="W84" s="29">
        <f t="shared" si="40"/>
        <v>1</v>
      </c>
    </row>
    <row r="86" spans="2:23" x14ac:dyDescent="0.2">
      <c r="B86" s="51"/>
      <c r="C86" s="86">
        <v>2021</v>
      </c>
      <c r="D86" s="86">
        <v>2022</v>
      </c>
      <c r="E86" s="86">
        <v>2023</v>
      </c>
      <c r="F86" s="86">
        <v>2024</v>
      </c>
      <c r="G86" s="86">
        <v>2025</v>
      </c>
      <c r="H86" s="86">
        <v>2026</v>
      </c>
      <c r="I86" s="86">
        <v>2027</v>
      </c>
      <c r="J86" s="86">
        <v>2028</v>
      </c>
      <c r="K86" s="86">
        <v>2029</v>
      </c>
      <c r="L86" s="86">
        <v>2030</v>
      </c>
      <c r="M86" s="86">
        <v>2031</v>
      </c>
      <c r="N86" s="86">
        <v>2032</v>
      </c>
      <c r="O86" s="86">
        <v>2033</v>
      </c>
      <c r="P86" s="86">
        <v>2034</v>
      </c>
      <c r="Q86" s="86">
        <v>2035</v>
      </c>
      <c r="R86" s="86">
        <v>2036</v>
      </c>
      <c r="S86" s="86">
        <v>2037</v>
      </c>
      <c r="T86" s="86">
        <v>2038</v>
      </c>
      <c r="U86" s="86">
        <v>2039</v>
      </c>
      <c r="V86" s="86">
        <v>2040</v>
      </c>
      <c r="W86" s="86">
        <v>2041</v>
      </c>
    </row>
    <row r="87" spans="2:23" x14ac:dyDescent="0.2">
      <c r="B87" s="106" t="s">
        <v>104</v>
      </c>
      <c r="C87" s="110">
        <f>C56</f>
        <v>99.250230000000002</v>
      </c>
      <c r="D87" s="110">
        <f>D56</f>
        <v>85.595287844886869</v>
      </c>
      <c r="E87" s="110">
        <f>E56</f>
        <v>77.284440321959977</v>
      </c>
      <c r="F87" s="110">
        <f>F56</f>
        <v>70.579945075187567</v>
      </c>
      <c r="G87" s="110">
        <f>G56</f>
        <v>65.810346550078521</v>
      </c>
      <c r="H87" s="110">
        <f t="shared" ref="H87:W87" si="41">G87*(1+H101/100)*H42-H59-H60+H61+H62+H63+H64+H65+H71</f>
        <v>60.945028545249919</v>
      </c>
      <c r="I87" s="110">
        <f t="shared" si="41"/>
        <v>57.091444398729493</v>
      </c>
      <c r="J87" s="110">
        <f t="shared" si="41"/>
        <v>53.609384153841056</v>
      </c>
      <c r="K87" s="110">
        <f t="shared" si="41"/>
        <v>50.102591426698446</v>
      </c>
      <c r="L87" s="110">
        <f t="shared" si="41"/>
        <v>46.989598699815097</v>
      </c>
      <c r="M87" s="110">
        <f t="shared" si="41"/>
        <v>44.228540271391942</v>
      </c>
      <c r="N87" s="110">
        <f t="shared" si="41"/>
        <v>41.749136091509236</v>
      </c>
      <c r="O87" s="110">
        <f t="shared" si="41"/>
        <v>39.55876035908048</v>
      </c>
      <c r="P87" s="110">
        <f t="shared" si="41"/>
        <v>37.5543764703527</v>
      </c>
      <c r="Q87" s="110">
        <f t="shared" si="41"/>
        <v>35.793195689696013</v>
      </c>
      <c r="R87" s="110">
        <f t="shared" si="41"/>
        <v>34.20465425548435</v>
      </c>
      <c r="S87" s="110">
        <f t="shared" si="41"/>
        <v>32.746179610617361</v>
      </c>
      <c r="T87" s="110">
        <f t="shared" si="41"/>
        <v>31.419467487426864</v>
      </c>
      <c r="U87" s="110">
        <f t="shared" si="41"/>
        <v>29.911113534035813</v>
      </c>
      <c r="V87" s="110">
        <f t="shared" si="41"/>
        <v>28.607281138326304</v>
      </c>
      <c r="W87" s="110">
        <f t="shared" si="41"/>
        <v>27.364483950352135</v>
      </c>
    </row>
    <row r="88" spans="2:23" x14ac:dyDescent="0.2">
      <c r="B88" s="26" t="s">
        <v>127</v>
      </c>
      <c r="C88" s="34"/>
      <c r="D88" s="254">
        <f>'Input data'!C66*$D$87</f>
        <v>80.579287385165813</v>
      </c>
      <c r="E88" s="34">
        <f t="shared" ref="E88:W88" si="42">IF(E87=0,0,IF(E83=1,D87*E42/((1+E23/100)*(1+E41/100))-E89-E90,IF(AND(E83=0,E84=1),(1-D93-E38*D94)*D87*E42/((1+E23/100)*(1+E41/100)),E87)))</f>
        <v>74.184299752358967</v>
      </c>
      <c r="F88" s="34">
        <f t="shared" si="42"/>
        <v>65.060117711874639</v>
      </c>
      <c r="G88" s="34">
        <f t="shared" si="42"/>
        <v>58.819172918048189</v>
      </c>
      <c r="H88" s="34">
        <f t="shared" si="42"/>
        <v>53.969922267681852</v>
      </c>
      <c r="I88" s="34">
        <f t="shared" si="42"/>
        <v>50.423246863454551</v>
      </c>
      <c r="J88" s="34">
        <f t="shared" si="42"/>
        <v>46.918544109216143</v>
      </c>
      <c r="K88" s="34">
        <f t="shared" si="42"/>
        <v>44.204195554113937</v>
      </c>
      <c r="L88" s="34">
        <f t="shared" si="42"/>
        <v>42.01932720594214</v>
      </c>
      <c r="M88" s="34">
        <f t="shared" si="42"/>
        <v>39.282290711048397</v>
      </c>
      <c r="N88" s="34">
        <f t="shared" si="42"/>
        <v>39.378190107256927</v>
      </c>
      <c r="O88" s="34">
        <f t="shared" si="42"/>
        <v>37.321724517734765</v>
      </c>
      <c r="P88" s="34">
        <f t="shared" si="42"/>
        <v>35.382363661749977</v>
      </c>
      <c r="Q88" s="34">
        <f t="shared" si="42"/>
        <v>33.581201216234284</v>
      </c>
      <c r="R88" s="34">
        <f t="shared" si="42"/>
        <v>32.011423383014161</v>
      </c>
      <c r="S88" s="34">
        <f t="shared" si="42"/>
        <v>30.523153198918624</v>
      </c>
      <c r="T88" s="34">
        <f t="shared" si="42"/>
        <v>29.295803959875503</v>
      </c>
      <c r="U88" s="34">
        <f t="shared" si="42"/>
        <v>28.104095597495174</v>
      </c>
      <c r="V88" s="34">
        <f t="shared" si="42"/>
        <v>26.746643981673035</v>
      </c>
      <c r="W88" s="34">
        <f t="shared" si="42"/>
        <v>25.601243067914687</v>
      </c>
    </row>
    <row r="89" spans="2:23" x14ac:dyDescent="0.2">
      <c r="B89" s="105" t="s">
        <v>128</v>
      </c>
      <c r="C89" s="34"/>
      <c r="D89" s="254">
        <f>'Input data'!C67*$D$87</f>
        <v>4.0611173722051426</v>
      </c>
      <c r="E89" s="34">
        <f t="shared" ref="E89:W89" si="43">IF(E87=0,0,IF(E83=1,E38*D87*D94*E42/((1+E23/100)*(1+E41/100)),IF(AND(E83=0,E84=1),(E38*D87*D94*E42/((1+E23/100)*(1+E41/100)))*(1-ABS(E87-D87*E42/((1+E23/100)*(1+E41/100)))/((E38*D87*D94*E42/((1+E23/100)*(1+E41/100)))+(D93*D87*E42/((1+E23/100)*(1+E41/100))))),0)))</f>
        <v>2.6058483973222213</v>
      </c>
      <c r="F89" s="34">
        <f t="shared" si="43"/>
        <v>5.1759171739107712</v>
      </c>
      <c r="G89" s="34">
        <f t="shared" si="43"/>
        <v>6.7099747808064141</v>
      </c>
      <c r="H89" s="34">
        <f t="shared" si="43"/>
        <v>6.7649221239307566</v>
      </c>
      <c r="I89" s="34">
        <f t="shared" si="43"/>
        <v>6.5034258084244509</v>
      </c>
      <c r="J89" s="34">
        <f t="shared" si="43"/>
        <v>6.557358081583696</v>
      </c>
      <c r="K89" s="34">
        <f t="shared" si="43"/>
        <v>5.7942986137284462</v>
      </c>
      <c r="L89" s="34">
        <f t="shared" si="43"/>
        <v>4.8889228820551534</v>
      </c>
      <c r="M89" s="34">
        <f t="shared" si="43"/>
        <v>4.8803808417279821</v>
      </c>
      <c r="N89" s="34">
        <f t="shared" si="43"/>
        <v>2.3228835709717774</v>
      </c>
      <c r="O89" s="34">
        <f t="shared" si="43"/>
        <v>2.2001155807912243</v>
      </c>
      <c r="P89" s="34">
        <f t="shared" si="43"/>
        <v>2.1425995145845831</v>
      </c>
      <c r="Q89" s="34">
        <f t="shared" si="43"/>
        <v>2.1868170480760387</v>
      </c>
      <c r="R89" s="34">
        <f t="shared" si="43"/>
        <v>2.1706503619953934</v>
      </c>
      <c r="S89" s="34">
        <f t="shared" si="43"/>
        <v>2.2020118592560176</v>
      </c>
      <c r="T89" s="34">
        <f t="shared" si="43"/>
        <v>2.0913172981251167</v>
      </c>
      <c r="U89" s="34">
        <f t="shared" si="43"/>
        <v>1.7895927206724997</v>
      </c>
      <c r="V89" s="34">
        <f t="shared" si="43"/>
        <v>1.8444437101093258</v>
      </c>
      <c r="W89" s="34">
        <f t="shared" si="43"/>
        <v>1.7482860736593668</v>
      </c>
    </row>
    <row r="90" spans="2:23" x14ac:dyDescent="0.2">
      <c r="B90" s="105" t="s">
        <v>129</v>
      </c>
      <c r="C90" s="34"/>
      <c r="D90" s="254">
        <f>'Input data'!C68*$D$87</f>
        <v>0.95488418751601412</v>
      </c>
      <c r="E90" s="34">
        <f t="shared" ref="E90:W90" si="44">IF(E87=0,0,IF(E83=1,(1-D94)*D87*E42/((1+E23/100)*(1+E41/100)),IF(AND(E83=0,E84=1),(D93*D87*E42/((1+E23/100)*(1+E41/100)))*(1-ABS(E87-D87*E42/((1+E23/100)*(1+E41/100)))/((E38*D87*D94*E42/((1+E23/100)*(1+E41/100)))+(D93*D87*E42/((1+E23/100)*(1+E41/100))))),0)))</f>
        <v>0.49429217227879385</v>
      </c>
      <c r="F90" s="34">
        <f t="shared" si="44"/>
        <v>0.34391018940216095</v>
      </c>
      <c r="G90" s="34">
        <f t="shared" si="44"/>
        <v>0.28119885122392269</v>
      </c>
      <c r="H90" s="34">
        <f t="shared" si="44"/>
        <v>0.21018415363731385</v>
      </c>
      <c r="I90" s="34">
        <f t="shared" si="44"/>
        <v>0.16477172685049798</v>
      </c>
      <c r="J90" s="34">
        <f t="shared" si="44"/>
        <v>0.13348196304122853</v>
      </c>
      <c r="K90" s="34">
        <f t="shared" si="44"/>
        <v>0.10409725885605763</v>
      </c>
      <c r="L90" s="34">
        <f t="shared" si="44"/>
        <v>8.1348611817806046E-2</v>
      </c>
      <c r="M90" s="34">
        <f t="shared" si="44"/>
        <v>6.5868718615568478E-2</v>
      </c>
      <c r="N90" s="34">
        <f t="shared" si="44"/>
        <v>4.8062413280535024E-2</v>
      </c>
      <c r="O90" s="34">
        <f t="shared" si="44"/>
        <v>3.6920260554493864E-2</v>
      </c>
      <c r="P90" s="34">
        <f t="shared" si="44"/>
        <v>2.9413294018140031E-2</v>
      </c>
      <c r="Q90" s="34">
        <f t="shared" si="44"/>
        <v>2.5177425385696058E-2</v>
      </c>
      <c r="R90" s="34">
        <f t="shared" si="44"/>
        <v>2.2580510474796603E-2</v>
      </c>
      <c r="S90" s="34">
        <f t="shared" si="44"/>
        <v>2.1014552442716959E-2</v>
      </c>
      <c r="T90" s="34">
        <f t="shared" si="44"/>
        <v>2.0155324030592978E-2</v>
      </c>
      <c r="U90" s="34">
        <f t="shared" si="44"/>
        <v>1.742521586813851E-2</v>
      </c>
      <c r="V90" s="34">
        <f t="shared" si="44"/>
        <v>1.6193446543941371E-2</v>
      </c>
      <c r="W90" s="34">
        <f t="shared" si="44"/>
        <v>1.4954808778077285E-2</v>
      </c>
    </row>
    <row r="91" spans="2:23" x14ac:dyDescent="0.2">
      <c r="B91" s="105" t="s">
        <v>130</v>
      </c>
      <c r="C91" s="34"/>
      <c r="D91" s="254">
        <f>'Input data'!C69*$D$87</f>
        <v>0</v>
      </c>
      <c r="E91" s="34">
        <f>IF(E87=0,0,IF(E83=1,'Input data'!$C$58*(E87-D87*E42/((1+E23/100)*(1+E41/100))),0))</f>
        <v>0</v>
      </c>
      <c r="F91" s="34">
        <f>IF(F87=0,0,IF(F83=1,'Input data'!$C$58*(F87-E87*F42/((1+F23/100)*(1+F41/100))),0))</f>
        <v>0</v>
      </c>
      <c r="G91" s="34">
        <f>IF(G87=0,0,IF(G83=1,'Input data'!$C$58*(G87-F87*G42/((1+G23/100)*(1+G41/100))),0))</f>
        <v>0</v>
      </c>
      <c r="H91" s="34">
        <f>IF(H87=0,0,IF(H83=1,'Input data'!$C$58*(H87-G87*H42/((1+H23/100)*(1+H41/100))),0))</f>
        <v>0</v>
      </c>
      <c r="I91" s="34">
        <f>IF(I87=0,0,IF(I83=1,'Input data'!$C$58*(I87-H87*I42/((1+I23/100)*(1+I41/100))),0))</f>
        <v>0</v>
      </c>
      <c r="J91" s="34">
        <f>IF(J87=0,0,IF(J83=1,'Input data'!$C$58*(J87-I87*J42/((1+J23/100)*(1+J41/100))),0))</f>
        <v>0</v>
      </c>
      <c r="K91" s="34">
        <f>IF(K87=0,0,IF(K83=1,'Input data'!$C$58*(K87-J87*K42/((1+K23/100)*(1+K41/100))),0))</f>
        <v>0</v>
      </c>
      <c r="L91" s="34">
        <f>IF(L87=0,0,IF(L83=1,'Input data'!$C$58*(L87-K87*L42/((1+L23/100)*(1+L41/100))),0))</f>
        <v>0</v>
      </c>
      <c r="M91" s="34">
        <f>IF(M87=0,0,IF(M83=1,'Input data'!$C$58*(M87-L87*M42/((1+M23/100)*(1+M41/100))),0))</f>
        <v>0</v>
      </c>
      <c r="N91" s="34">
        <f>IF(N87=0,0,IF(N83=1,'Input data'!$C$58*(N87-M87*N42/((1+N23/100)*(1+N41/100))),0))</f>
        <v>0</v>
      </c>
      <c r="O91" s="34">
        <f>IF(O87=0,0,IF(O83=1,'Input data'!$C$58*(O87-N87*O42/((1+O23/100)*(1+O41/100))),0))</f>
        <v>0</v>
      </c>
      <c r="P91" s="34">
        <f>IF(P87=0,0,IF(P83=1,'Input data'!$C$58*(P87-O87*P42/((1+P23/100)*(1+P41/100))),0))</f>
        <v>0</v>
      </c>
      <c r="Q91" s="34">
        <f>IF(Q87=0,0,IF(Q83=1,'Input data'!$C$58*(Q87-P87*Q42/((1+Q23/100)*(1+Q41/100))),0))</f>
        <v>0</v>
      </c>
      <c r="R91" s="34">
        <f>IF(R87=0,0,IF(R83=1,'Input data'!$C$58*(R87-Q87*R42/((1+R23/100)*(1+R41/100))),0))</f>
        <v>0</v>
      </c>
      <c r="S91" s="34">
        <f>IF(S87=0,0,IF(S83=1,'Input data'!$C$58*(S87-R87*S42/((1+S23/100)*(1+S41/100))),0))</f>
        <v>0</v>
      </c>
      <c r="T91" s="34">
        <f>IF(T87=0,0,IF(T83=1,'Input data'!$C$58*(T87-S87*T42/((1+T23/100)*(1+T41/100))),0))</f>
        <v>1.2035086119247085E-2</v>
      </c>
      <c r="U91" s="34">
        <f>IF(U87=0,0,IF(U83=1,'Input data'!$C$58*(U87-T87*U42/((1+U23/100)*(1+U41/100))),0))</f>
        <v>0</v>
      </c>
      <c r="V91" s="34">
        <f>IF(V87=0,0,IF(V83=1,'Input data'!$C$58*(V87-U87*V42/((1+V23/100)*(1+V41/100))),0))</f>
        <v>0</v>
      </c>
      <c r="W91" s="34">
        <f>IF(W87=0,0,IF(W83=1,'Input data'!$C$58*(W87-V87*W42/((1+W23/100)*(1+W41/100))),0))</f>
        <v>0</v>
      </c>
    </row>
    <row r="92" spans="2:23" x14ac:dyDescent="0.2">
      <c r="B92" s="107" t="s">
        <v>131</v>
      </c>
      <c r="C92" s="49"/>
      <c r="D92" s="255">
        <f>'Input data'!C70*$D$87</f>
        <v>0</v>
      </c>
      <c r="E92" s="49">
        <f>IF(E87=0,0,IF(E83=1,'Input data'!$C$57*(E87-D87*E42/((1+E23/100)*(1+E41/100))),0))</f>
        <v>0</v>
      </c>
      <c r="F92" s="49">
        <f>IF(F87=0,0,IF(F83=1,'Input data'!$C$57*(F87-E87*F42/((1+F23/100)*(1+F41/100))),0))</f>
        <v>0</v>
      </c>
      <c r="G92" s="49">
        <f>IF(G87=0,0,IF(G83=1,'Input data'!$C$57*(G87-F87*G42/((1+G23/100)*(1+G41/100))),0))</f>
        <v>0</v>
      </c>
      <c r="H92" s="49">
        <f>IF(H87=0,0,IF(H83=1,'Input data'!$C$57*(H87-G87*H42/((1+H23/100)*(1+H41/100))),0))</f>
        <v>0</v>
      </c>
      <c r="I92" s="49">
        <f>IF(I87=0,0,IF(I83=1,'Input data'!$C$57*(I87-H87*I42/((1+I23/100)*(1+I41/100))),0))</f>
        <v>0</v>
      </c>
      <c r="J92" s="49">
        <f>IF(J87=0,0,IF(J83=1,'Input data'!$C$57*(J87-I87*J42/((1+J23/100)*(1+J41/100))),0))</f>
        <v>0</v>
      </c>
      <c r="K92" s="49">
        <f>IF(K87=0,0,IF(K83=1,'Input data'!$C$57*(K87-J87*K42/((1+K23/100)*(1+K41/100))),0))</f>
        <v>0</v>
      </c>
      <c r="L92" s="49">
        <f>IF(L87=0,0,IF(L83=1,'Input data'!$C$57*(L87-K87*L42/((1+L23/100)*(1+L41/100))),0))</f>
        <v>0</v>
      </c>
      <c r="M92" s="49">
        <f>IF(M87=0,0,IF(M83=1,'Input data'!$C$57*(M87-L87*M42/((1+M23/100)*(1+M41/100))),0))</f>
        <v>0</v>
      </c>
      <c r="N92" s="49">
        <f>IF(N87=0,0,IF(N83=1,'Input data'!$C$57*(N87-M87*N42/((1+N23/100)*(1+N41/100))),0))</f>
        <v>0</v>
      </c>
      <c r="O92" s="49">
        <f>IF(O87=0,0,IF(O83=1,'Input data'!$C$57*(O87-N87*O42/((1+O23/100)*(1+O41/100))),0))</f>
        <v>0</v>
      </c>
      <c r="P92" s="49">
        <f>IF(P87=0,0,IF(P83=1,'Input data'!$C$57*(P87-O87*P42/((1+P23/100)*(1+P41/100))),0))</f>
        <v>0</v>
      </c>
      <c r="Q92" s="49">
        <f>IF(Q87=0,0,IF(Q83=1,'Input data'!$C$57*(Q87-P87*Q42/((1+Q23/100)*(1+Q41/100))),0))</f>
        <v>0</v>
      </c>
      <c r="R92" s="49">
        <f>IF(R87=0,0,IF(R83=1,'Input data'!$C$57*(R87-Q87*R42/((1+R23/100)*(1+R41/100))),0))</f>
        <v>0</v>
      </c>
      <c r="S92" s="49">
        <f>IF(S87=0,0,IF(S83=1,'Input data'!$C$57*(S87-R87*S42/((1+S23/100)*(1+S41/100))),0))</f>
        <v>0</v>
      </c>
      <c r="T92" s="49">
        <f>IF(T87=0,0,IF(T83=1,'Input data'!$C$57*(T87-S87*T42/((1+T23/100)*(1+T41/100))),0))</f>
        <v>1.5581927640506756E-4</v>
      </c>
      <c r="U92" s="49">
        <f>IF(U87=0,0,IF(U83=1,'Input data'!$C$57*(U87-T87*U42/((1+U23/100)*(1+U41/100))),0))</f>
        <v>0</v>
      </c>
      <c r="V92" s="49">
        <f>IF(V87=0,0,IF(V83=1,'Input data'!$C$57*(V87-U87*V42/((1+V23/100)*(1+V41/100))),0))</f>
        <v>0</v>
      </c>
      <c r="W92" s="49">
        <f>IF(W87=0,0,IF(W83=1,'Input data'!$C$57*(W87-V87*W42/((1+W23/100)*(1+W41/100))),0))</f>
        <v>0</v>
      </c>
    </row>
    <row r="93" spans="2:23" x14ac:dyDescent="0.2">
      <c r="B93" s="26" t="s">
        <v>73</v>
      </c>
      <c r="C93" s="36"/>
      <c r="D93" s="36">
        <f>1-D94</f>
        <v>1.1155790366010776E-2</v>
      </c>
      <c r="E93" s="36">
        <f>IF(E87&lt;&gt;0,(E90+E92)/(E88+E89+E90+E91+E92),0)</f>
        <v>6.3957527572124145E-3</v>
      </c>
      <c r="F93" s="36">
        <f t="shared" ref="F93" si="45">IF(F87&lt;&gt;0,(F90+F92)/(F88+F89+F90+F91+F92),0)</f>
        <v>4.8726332818168029E-3</v>
      </c>
      <c r="G93" s="36">
        <f>IF(G87&lt;&gt;0,(G90+G92)/(G88+G89+G90+G91+G92),0)</f>
        <v>4.2728668965440536E-3</v>
      </c>
      <c r="H93" s="36">
        <f>IF(H87&lt;&gt;0,(H90+H92)/(H88+H89+H90+H91+H92),0)</f>
        <v>3.448749777535311E-3</v>
      </c>
      <c r="I93" s="36">
        <f t="shared" ref="I93:W93" si="46">IF(I87&lt;&gt;0,(I90+I92)/(I88+I89+I90+I91+I92),0)</f>
        <v>2.8861019122186507E-3</v>
      </c>
      <c r="J93" s="36">
        <f t="shared" si="46"/>
        <v>2.4898992060453408E-3</v>
      </c>
      <c r="K93" s="36">
        <f t="shared" si="46"/>
        <v>2.0776821296430341E-3</v>
      </c>
      <c r="L93" s="36">
        <f t="shared" si="46"/>
        <v>1.7312046510013319E-3</v>
      </c>
      <c r="M93" s="36">
        <f>IF(M87&lt;&gt;0,(M90+M92)/(M88+M89+M90+M91+M92),0)</f>
        <v>1.4892808627955986E-3</v>
      </c>
      <c r="N93" s="36">
        <f t="shared" si="46"/>
        <v>1.1512193491905515E-3</v>
      </c>
      <c r="O93" s="36">
        <f t="shared" si="46"/>
        <v>9.3330175716739897E-4</v>
      </c>
      <c r="P93" s="36">
        <f t="shared" si="46"/>
        <v>7.8321880916756414E-4</v>
      </c>
      <c r="Q93" s="36">
        <f t="shared" si="46"/>
        <v>7.0341373270965072E-4</v>
      </c>
      <c r="R93" s="36">
        <f t="shared" si="46"/>
        <v>6.6015900368810365E-4</v>
      </c>
      <c r="S93" s="36">
        <f t="shared" si="46"/>
        <v>6.4174058447732246E-4</v>
      </c>
      <c r="T93" s="36">
        <f t="shared" si="46"/>
        <v>6.464509086643802E-4</v>
      </c>
      <c r="U93" s="36">
        <f t="shared" si="46"/>
        <v>5.8256660516200392E-4</v>
      </c>
      <c r="V93" s="36">
        <f t="shared" si="46"/>
        <v>5.6606031400328969E-4</v>
      </c>
      <c r="W93" s="36">
        <f t="shared" si="46"/>
        <v>5.4650432309303037E-4</v>
      </c>
    </row>
    <row r="94" spans="2:23" x14ac:dyDescent="0.2">
      <c r="B94" s="35" t="s">
        <v>74</v>
      </c>
      <c r="C94" s="108"/>
      <c r="D94" s="108">
        <f>(D88+D89+D91)/D87</f>
        <v>0.98884420963398922</v>
      </c>
      <c r="E94" s="108">
        <f t="shared" ref="E94:F94" si="47">IF(E87&lt;&gt;0,(E88+E89+E91)/(E88+E89+E90+E91+E92),1)</f>
        <v>0.99360424724278762</v>
      </c>
      <c r="F94" s="108">
        <f t="shared" si="47"/>
        <v>0.99512736671818314</v>
      </c>
      <c r="G94" s="108">
        <f>IF(G87&lt;&gt;0,(G88+G89+G91)/(G88+G89+G90+G91+G92),1)</f>
        <v>0.99572713310345595</v>
      </c>
      <c r="H94" s="108">
        <f>IF(H87&lt;&gt;0,(H88+H89+H91)/(H88+H89+H90+H91+H92),1)</f>
        <v>0.99655125022246471</v>
      </c>
      <c r="I94" s="108">
        <f t="shared" ref="I94:W94" si="48">IF(I87&lt;&gt;0,(I88+I89+I91)/(I88+I89+I90+I91+I92),1)</f>
        <v>0.99711389808778139</v>
      </c>
      <c r="J94" s="108">
        <f t="shared" si="48"/>
        <v>0.99751010079395463</v>
      </c>
      <c r="K94" s="108">
        <f t="shared" si="48"/>
        <v>0.99792231787035701</v>
      </c>
      <c r="L94" s="108">
        <f t="shared" si="48"/>
        <v>0.99826879534899859</v>
      </c>
      <c r="M94" s="108">
        <f t="shared" si="48"/>
        <v>0.99851071913720435</v>
      </c>
      <c r="N94" s="108">
        <f t="shared" si="48"/>
        <v>0.99884878065080951</v>
      </c>
      <c r="O94" s="108">
        <f t="shared" si="48"/>
        <v>0.99906669824283256</v>
      </c>
      <c r="P94" s="108">
        <f t="shared" si="48"/>
        <v>0.99921678119083235</v>
      </c>
      <c r="Q94" s="108">
        <f t="shared" si="48"/>
        <v>0.99929658626729023</v>
      </c>
      <c r="R94" s="108">
        <f t="shared" si="48"/>
        <v>0.9993398409963119</v>
      </c>
      <c r="S94" s="108">
        <f t="shared" si="48"/>
        <v>0.9993582594155227</v>
      </c>
      <c r="T94" s="108">
        <f t="shared" si="48"/>
        <v>0.99935354909133567</v>
      </c>
      <c r="U94" s="108">
        <f t="shared" si="48"/>
        <v>0.99941743339483802</v>
      </c>
      <c r="V94" s="108">
        <f t="shared" si="48"/>
        <v>0.9994339396859967</v>
      </c>
      <c r="W94" s="108">
        <f t="shared" si="48"/>
        <v>0.99945349567690689</v>
      </c>
    </row>
    <row r="95" spans="2:23" x14ac:dyDescent="0.2">
      <c r="C95" s="36"/>
      <c r="D95" s="36"/>
      <c r="E95" s="253"/>
      <c r="F95" s="253"/>
      <c r="G95" s="253"/>
      <c r="H95" s="36"/>
      <c r="I95" s="36"/>
      <c r="J95" s="36"/>
      <c r="K95" s="36"/>
      <c r="L95" s="36"/>
      <c r="M95" s="36"/>
      <c r="N95" s="36"/>
      <c r="O95" s="36"/>
      <c r="P95" s="36"/>
      <c r="Q95" s="36"/>
      <c r="R95" s="36"/>
      <c r="S95" s="36"/>
      <c r="T95" s="36"/>
      <c r="U95" s="36"/>
      <c r="V95" s="36"/>
      <c r="W95" s="36"/>
    </row>
    <row r="96" spans="2:23" x14ac:dyDescent="0.2">
      <c r="B96" s="113" t="s">
        <v>132</v>
      </c>
      <c r="C96" s="115">
        <f>C35</f>
        <v>1.716024</v>
      </c>
      <c r="D96" s="115">
        <f>D35</f>
        <v>1.648296</v>
      </c>
      <c r="E96" s="115">
        <f>E98+E99</f>
        <v>1.80772</v>
      </c>
      <c r="F96" s="115">
        <f>F98+F99</f>
        <v>1.9077200000000001</v>
      </c>
      <c r="G96" s="115">
        <f>G98+G99</f>
        <v>1.9077200000000001</v>
      </c>
      <c r="H96" s="115">
        <f>H98+H99</f>
        <v>2.0578644042332872</v>
      </c>
      <c r="I96" s="115">
        <f t="shared" ref="I96:W96" si="49">I98+I99</f>
        <v>2.2118747751549774</v>
      </c>
      <c r="J96" s="115">
        <f t="shared" si="49"/>
        <v>2.3601174524281245</v>
      </c>
      <c r="K96" s="115">
        <f t="shared" si="49"/>
        <v>2.509376093422182</v>
      </c>
      <c r="L96" s="115">
        <f t="shared" si="49"/>
        <v>2.6408966411575108</v>
      </c>
      <c r="M96" s="115">
        <f t="shared" si="49"/>
        <v>2.7524530711746404</v>
      </c>
      <c r="N96" s="115">
        <f t="shared" si="49"/>
        <v>2.865798759261871</v>
      </c>
      <c r="O96" s="115">
        <f t="shared" si="49"/>
        <v>2.9203644316467692</v>
      </c>
      <c r="P96" s="115">
        <f t="shared" si="49"/>
        <v>2.9722771636553915</v>
      </c>
      <c r="Q96" s="115">
        <f t="shared" si="49"/>
        <v>3.0230111663401642</v>
      </c>
      <c r="R96" s="115">
        <f t="shared" si="49"/>
        <v>3.0746977840493419</v>
      </c>
      <c r="S96" s="115">
        <f t="shared" si="49"/>
        <v>3.1255827448038529</v>
      </c>
      <c r="T96" s="115">
        <f t="shared" si="49"/>
        <v>3.176586129394241</v>
      </c>
      <c r="U96" s="115">
        <f t="shared" si="49"/>
        <v>3.2244457680303307</v>
      </c>
      <c r="V96" s="115">
        <f t="shared" si="49"/>
        <v>3.2648611866733375</v>
      </c>
      <c r="W96" s="115">
        <f t="shared" si="49"/>
        <v>3.3062700786320192</v>
      </c>
    </row>
    <row r="97" spans="2:25" x14ac:dyDescent="0.2">
      <c r="B97" s="33" t="s">
        <v>133</v>
      </c>
      <c r="C97" s="1"/>
      <c r="D97" s="34"/>
      <c r="E97" s="266">
        <f>((E35*D87)-(E37*D90+D92))/(D88+D89+D91)</f>
        <v>1.789417966678488</v>
      </c>
      <c r="F97" s="266">
        <f>((F35*E87)-(F37*E90+E92))/(E88+E89+E91)</f>
        <v>1.8970573164187969</v>
      </c>
      <c r="G97" s="266">
        <f>((G35*F87)-(G37*F90+F92))/(F88+F89+F91)</f>
        <v>1.903270777978008</v>
      </c>
      <c r="H97" s="34">
        <f t="shared" ref="H97:W97" si="50">IF(G87&gt;0,(G97*G88+H36*(G91+G89))/(G88+G89+G91),H36)</f>
        <v>2.0546579104703735</v>
      </c>
      <c r="I97" s="34">
        <f t="shared" si="50"/>
        <v>2.2098609023891864</v>
      </c>
      <c r="J97" s="34">
        <f t="shared" si="50"/>
        <v>2.3588948324333874</v>
      </c>
      <c r="K97" s="34">
        <f t="shared" si="50"/>
        <v>2.5087224699066737</v>
      </c>
      <c r="L97" s="34">
        <f t="shared" si="50"/>
        <v>2.6406487776325105</v>
      </c>
      <c r="M97" s="34">
        <f t="shared" si="50"/>
        <v>2.7524596469771541</v>
      </c>
      <c r="N97" s="34">
        <f t="shared" si="50"/>
        <v>2.8659903026399545</v>
      </c>
      <c r="O97" s="34">
        <f t="shared" si="50"/>
        <v>2.9205883419013512</v>
      </c>
      <c r="P97" s="34">
        <f t="shared" si="50"/>
        <v>2.9725410599163102</v>
      </c>
      <c r="Q97" s="34">
        <f t="shared" si="50"/>
        <v>3.0233008161761967</v>
      </c>
      <c r="R97" s="34">
        <f t="shared" si="50"/>
        <v>3.075019837340256</v>
      </c>
      <c r="S97" s="34">
        <f t="shared" si="50"/>
        <v>3.1259425780536003</v>
      </c>
      <c r="T97" s="34">
        <f t="shared" si="50"/>
        <v>3.1769919818508625</v>
      </c>
      <c r="U97" s="34">
        <f t="shared" si="50"/>
        <v>3.2249090445169992</v>
      </c>
      <c r="V97" s="34">
        <f t="shared" si="50"/>
        <v>3.2653233745549617</v>
      </c>
      <c r="W97" s="34">
        <f t="shared" si="50"/>
        <v>3.306763178967397</v>
      </c>
    </row>
    <row r="98" spans="2:25" x14ac:dyDescent="0.2">
      <c r="B98" s="26" t="s">
        <v>134</v>
      </c>
      <c r="C98" s="34"/>
      <c r="D98" s="34"/>
      <c r="E98" s="266">
        <f>E35</f>
        <v>1.80772</v>
      </c>
      <c r="F98" s="266">
        <f>F35</f>
        <v>1.9077200000000001</v>
      </c>
      <c r="G98" s="266">
        <f>G35</f>
        <v>1.9077200000000001</v>
      </c>
      <c r="H98" s="34">
        <f t="shared" ref="H98:W98" si="51">(H97*(G88+G89+G91)+H37*(G90+G92))/G87</f>
        <v>2.0578644042332872</v>
      </c>
      <c r="I98" s="34">
        <f t="shared" si="51"/>
        <v>2.2118747751549774</v>
      </c>
      <c r="J98" s="34">
        <f t="shared" si="51"/>
        <v>2.3601174524281245</v>
      </c>
      <c r="K98" s="34">
        <f t="shared" si="51"/>
        <v>2.509376093422182</v>
      </c>
      <c r="L98" s="34">
        <f t="shared" si="51"/>
        <v>2.6408966411575108</v>
      </c>
      <c r="M98" s="34">
        <f t="shared" si="51"/>
        <v>2.7524530711746404</v>
      </c>
      <c r="N98" s="34">
        <f t="shared" si="51"/>
        <v>2.865798759261871</v>
      </c>
      <c r="O98" s="34">
        <f t="shared" si="51"/>
        <v>2.9203644316467692</v>
      </c>
      <c r="P98" s="34">
        <f t="shared" si="51"/>
        <v>2.9722771636553915</v>
      </c>
      <c r="Q98" s="34">
        <f t="shared" si="51"/>
        <v>3.0230111663401642</v>
      </c>
      <c r="R98" s="34">
        <f t="shared" si="51"/>
        <v>3.0746977840493419</v>
      </c>
      <c r="S98" s="34">
        <f t="shared" si="51"/>
        <v>3.1255827448038529</v>
      </c>
      <c r="T98" s="34">
        <f t="shared" si="51"/>
        <v>3.176586129394241</v>
      </c>
      <c r="U98" s="34">
        <f t="shared" si="51"/>
        <v>3.2244457680303307</v>
      </c>
      <c r="V98" s="34">
        <f t="shared" si="51"/>
        <v>3.2648611866733375</v>
      </c>
      <c r="W98" s="34">
        <f t="shared" si="51"/>
        <v>3.3062700786320192</v>
      </c>
    </row>
    <row r="99" spans="2:25" x14ac:dyDescent="0.2">
      <c r="B99" s="35" t="s">
        <v>135</v>
      </c>
      <c r="C99" s="114"/>
      <c r="D99" s="49"/>
      <c r="E99" s="49">
        <f t="shared" ref="E99:G99" si="52">E108</f>
        <v>0</v>
      </c>
      <c r="F99" s="49">
        <f t="shared" si="52"/>
        <v>0</v>
      </c>
      <c r="G99" s="49">
        <f t="shared" si="52"/>
        <v>0</v>
      </c>
      <c r="H99" s="49">
        <f>H108</f>
        <v>0</v>
      </c>
      <c r="I99" s="49">
        <f t="shared" ref="I99:W99" si="53">I108</f>
        <v>0</v>
      </c>
      <c r="J99" s="49">
        <f t="shared" si="53"/>
        <v>0</v>
      </c>
      <c r="K99" s="49">
        <f t="shared" si="53"/>
        <v>0</v>
      </c>
      <c r="L99" s="49">
        <f t="shared" si="53"/>
        <v>0</v>
      </c>
      <c r="M99" s="49">
        <f t="shared" si="53"/>
        <v>0</v>
      </c>
      <c r="N99" s="49">
        <f t="shared" si="53"/>
        <v>0</v>
      </c>
      <c r="O99" s="49">
        <f t="shared" si="53"/>
        <v>0</v>
      </c>
      <c r="P99" s="49">
        <f t="shared" si="53"/>
        <v>0</v>
      </c>
      <c r="Q99" s="49">
        <f t="shared" si="53"/>
        <v>0</v>
      </c>
      <c r="R99" s="49">
        <f t="shared" si="53"/>
        <v>0</v>
      </c>
      <c r="S99" s="49">
        <f t="shared" si="53"/>
        <v>0</v>
      </c>
      <c r="T99" s="49">
        <f t="shared" si="53"/>
        <v>0</v>
      </c>
      <c r="U99" s="49">
        <f t="shared" si="53"/>
        <v>0</v>
      </c>
      <c r="V99" s="49">
        <f t="shared" si="53"/>
        <v>0</v>
      </c>
      <c r="W99" s="49">
        <f t="shared" si="53"/>
        <v>0</v>
      </c>
    </row>
    <row r="100" spans="2:25" x14ac:dyDescent="0.2">
      <c r="G100" s="98"/>
      <c r="H100" s="98"/>
      <c r="I100" s="98"/>
      <c r="J100" s="98"/>
      <c r="K100" s="98"/>
      <c r="L100" s="98"/>
      <c r="M100" s="98"/>
      <c r="N100" s="98"/>
      <c r="O100" s="98"/>
      <c r="P100" s="98"/>
      <c r="Q100" s="98"/>
      <c r="R100" s="98"/>
      <c r="S100" s="98"/>
      <c r="T100" s="98"/>
      <c r="U100" s="98"/>
      <c r="V100" s="98"/>
      <c r="W100" s="98"/>
    </row>
    <row r="101" spans="2:25" x14ac:dyDescent="0.2">
      <c r="B101" s="113" t="s">
        <v>185</v>
      </c>
      <c r="C101" s="115">
        <f t="shared" ref="C101:W101" si="54">((1+C96/100)/((1+C23/100)*(1+C41/100))-1)*100</f>
        <v>-9.8765561120643941</v>
      </c>
      <c r="D101" s="115">
        <f t="shared" si="54"/>
        <v>-8.7789144920546907</v>
      </c>
      <c r="E101" s="115">
        <f t="shared" si="54"/>
        <v>-5.1265148425786773</v>
      </c>
      <c r="F101" s="115">
        <f t="shared" si="54"/>
        <v>-4.3974442453050262</v>
      </c>
      <c r="G101" s="115">
        <f t="shared" si="54"/>
        <v>-3.3667168756985943</v>
      </c>
      <c r="H101" s="115">
        <f t="shared" si="54"/>
        <v>-2.4753077943193147</v>
      </c>
      <c r="I101" s="115">
        <f t="shared" si="54"/>
        <v>-1.7171862047788977</v>
      </c>
      <c r="J101" s="115">
        <f t="shared" si="54"/>
        <v>-1.6511952049343637</v>
      </c>
      <c r="K101" s="115">
        <f t="shared" si="54"/>
        <v>-1.5908807535381042</v>
      </c>
      <c r="L101" s="115">
        <f t="shared" si="54"/>
        <v>-1.4022988871000841</v>
      </c>
      <c r="M101" s="115">
        <f t="shared" si="54"/>
        <v>-1.2656447383685543</v>
      </c>
      <c r="N101" s="115">
        <f t="shared" si="54"/>
        <v>-1.1530469352177608</v>
      </c>
      <c r="O101" s="115">
        <f t="shared" si="54"/>
        <v>-1.0951701761246602</v>
      </c>
      <c r="P101" s="115">
        <f t="shared" si="54"/>
        <v>-1.0815832761730815</v>
      </c>
      <c r="Q101" s="115">
        <f t="shared" si="54"/>
        <v>-1.0691084612189372</v>
      </c>
      <c r="R101" s="115">
        <f t="shared" si="54"/>
        <v>-1.0556946645896237</v>
      </c>
      <c r="S101" s="115">
        <f t="shared" si="54"/>
        <v>-1.0648526106166734</v>
      </c>
      <c r="T101" s="115">
        <f t="shared" si="54"/>
        <v>-1.0420264016087644</v>
      </c>
      <c r="U101" s="115">
        <f t="shared" si="54"/>
        <v>-1.0332491740896343</v>
      </c>
      <c r="V101" s="115">
        <f t="shared" si="54"/>
        <v>-1.035727173056078</v>
      </c>
      <c r="W101" s="115">
        <f t="shared" si="54"/>
        <v>-0.93756032305122305</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3" customFormat="1" ht="12.75" x14ac:dyDescent="0.2">
      <c r="B104" s="25" t="s">
        <v>136</v>
      </c>
    </row>
    <row r="105" spans="2:25" s="109" customFormat="1" ht="12.75" x14ac:dyDescent="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2:25" x14ac:dyDescent="0.2">
      <c r="B106" s="120" t="s">
        <v>43</v>
      </c>
      <c r="C106" s="34">
        <v>99.250230000000002</v>
      </c>
      <c r="D106" s="34">
        <v>85.595280000000002</v>
      </c>
      <c r="E106" s="34">
        <v>77.284419999999997</v>
      </c>
      <c r="F106" s="34">
        <v>70.579920000000001</v>
      </c>
      <c r="G106" s="34">
        <v>65.810299999999998</v>
      </c>
      <c r="H106" s="34">
        <v>60.944980000000001</v>
      </c>
      <c r="I106" s="34">
        <v>57.091389999999997</v>
      </c>
      <c r="J106" s="34">
        <v>53.609319999999997</v>
      </c>
      <c r="K106" s="34">
        <v>50.102519999999998</v>
      </c>
      <c r="L106" s="34">
        <v>46.989510000000003</v>
      </c>
      <c r="M106" s="34">
        <v>44.228450000000002</v>
      </c>
      <c r="N106" s="34">
        <v>41.749020000000002</v>
      </c>
      <c r="O106" s="34">
        <v>39.558639999999997</v>
      </c>
      <c r="P106" s="34">
        <v>37.55424</v>
      </c>
      <c r="Q106" s="34">
        <v>35.793030000000002</v>
      </c>
      <c r="R106" s="34">
        <v>34.204479999999997</v>
      </c>
      <c r="S106" s="34">
        <v>32.745989999999999</v>
      </c>
      <c r="T106" s="34">
        <v>31.419260000000001</v>
      </c>
      <c r="U106" s="34">
        <v>29.910889999999998</v>
      </c>
      <c r="V106" s="34">
        <v>28.607050000000001</v>
      </c>
      <c r="W106" s="34">
        <v>27.364239999999999</v>
      </c>
    </row>
    <row r="107" spans="2:25" x14ac:dyDescent="0.2">
      <c r="B107" s="26" t="s">
        <v>132</v>
      </c>
      <c r="C107" s="34">
        <v>1.716024</v>
      </c>
      <c r="D107" s="34">
        <v>1.648296</v>
      </c>
      <c r="E107" s="34">
        <v>1.80772</v>
      </c>
      <c r="F107" s="34">
        <v>1.9077200000000001</v>
      </c>
      <c r="G107" s="34">
        <v>1.9077200000000001</v>
      </c>
      <c r="H107" s="34">
        <v>2.0578639999999999</v>
      </c>
      <c r="I107" s="34">
        <v>2.211875</v>
      </c>
      <c r="J107" s="34">
        <v>2.3601169999999998</v>
      </c>
      <c r="K107" s="34">
        <v>2.5093760000000001</v>
      </c>
      <c r="L107" s="34">
        <v>2.6408960000000001</v>
      </c>
      <c r="M107" s="34">
        <v>2.7524519999999999</v>
      </c>
      <c r="N107" s="34">
        <v>2.8657979999999998</v>
      </c>
      <c r="O107" s="34">
        <v>2.920363</v>
      </c>
      <c r="P107" s="34">
        <v>2.9722749999999998</v>
      </c>
      <c r="Q107" s="34">
        <v>3.0230090000000001</v>
      </c>
      <c r="R107" s="34">
        <v>3.0746950000000002</v>
      </c>
      <c r="S107" s="34">
        <v>3.1255799999999998</v>
      </c>
      <c r="T107" s="34">
        <v>3.1765829999999999</v>
      </c>
      <c r="U107" s="34">
        <v>3.2244419999999998</v>
      </c>
      <c r="V107" s="34">
        <v>3.2648570000000001</v>
      </c>
      <c r="W107" s="34">
        <v>3.3062659999999999</v>
      </c>
    </row>
    <row r="108" spans="2:25" x14ac:dyDescent="0.2">
      <c r="B108" s="26" t="s">
        <v>184</v>
      </c>
      <c r="C108" s="34"/>
      <c r="D108" s="34">
        <v>0</v>
      </c>
      <c r="E108" s="34">
        <v>0</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row>
    <row r="109" spans="2:25"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spans="2:25" x14ac:dyDescent="0.2">
      <c r="B110" s="26" t="s">
        <v>96</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137</v>
      </c>
      <c r="C111" s="34">
        <v>3.8019160000000003E-2</v>
      </c>
      <c r="D111" s="34">
        <v>7.8597440000000005E-2</v>
      </c>
      <c r="E111" s="34">
        <v>5.9475470000000003E-2</v>
      </c>
      <c r="F111" s="34">
        <v>9.6876959999999998E-2</v>
      </c>
      <c r="G111" s="34">
        <v>0.11684023</v>
      </c>
      <c r="H111" s="34">
        <v>0.13811532000000001</v>
      </c>
      <c r="I111" s="34">
        <v>0.13659083</v>
      </c>
      <c r="J111" s="34">
        <v>0.14219135999999999</v>
      </c>
      <c r="K111" s="34">
        <v>0.1389396</v>
      </c>
      <c r="L111" s="34">
        <v>0.12512538000000001</v>
      </c>
      <c r="M111" s="34">
        <v>0.12849179999999999</v>
      </c>
      <c r="N111" s="34">
        <v>7.2085140000000006E-2</v>
      </c>
      <c r="O111" s="34">
        <v>6.8681389999999995E-2</v>
      </c>
      <c r="P111" s="34">
        <v>6.8049499999999999E-2</v>
      </c>
      <c r="Q111" s="34">
        <v>6.8080779999999994E-2</v>
      </c>
      <c r="R111" s="34">
        <v>6.7666320000000002E-2</v>
      </c>
      <c r="S111" s="34">
        <v>6.9220519999999994E-2</v>
      </c>
      <c r="T111" s="34">
        <v>6.6629789999999994E-2</v>
      </c>
      <c r="U111" s="34">
        <v>6.6434309999999996E-2</v>
      </c>
      <c r="V111" s="34">
        <v>6.6393380000000002E-2</v>
      </c>
      <c r="W111" s="34">
        <v>6.621254E-2</v>
      </c>
      <c r="X111" s="38"/>
    </row>
    <row r="112" spans="2:25" x14ac:dyDescent="0.2">
      <c r="B112" s="26" t="s">
        <v>138</v>
      </c>
      <c r="C112" s="34">
        <v>3.0337050000000001E-2</v>
      </c>
      <c r="D112" s="34">
        <v>3.594311E-2</v>
      </c>
      <c r="E112" s="34">
        <v>4.1166179999999997E-2</v>
      </c>
      <c r="F112" s="34">
        <v>1.594102E-2</v>
      </c>
      <c r="G112" s="34">
        <v>1.5850139999999999E-2</v>
      </c>
      <c r="H112" s="34">
        <v>3.7528779999999998E-2</v>
      </c>
      <c r="I112" s="34">
        <v>3.4050280000000002E-2</v>
      </c>
      <c r="J112" s="34">
        <v>4.734439E-2</v>
      </c>
      <c r="K112" s="34">
        <v>4.4075929999999999E-2</v>
      </c>
      <c r="L112" s="34">
        <v>5.08599E-2</v>
      </c>
      <c r="M112" s="34">
        <v>6.6237939999999995E-2</v>
      </c>
      <c r="N112" s="34">
        <v>6.0253769999999998E-2</v>
      </c>
      <c r="O112" s="34">
        <v>9.0030589999999994E-2</v>
      </c>
      <c r="P112" s="34">
        <v>7.2952390000000006E-2</v>
      </c>
      <c r="Q112" s="34">
        <v>7.7366660000000004E-2</v>
      </c>
      <c r="R112" s="34">
        <v>9.0839359999999994E-2</v>
      </c>
      <c r="S112" s="34">
        <v>9.9621100000000004E-2</v>
      </c>
      <c r="T112" s="34">
        <v>0.10965455</v>
      </c>
      <c r="U112" s="34">
        <v>9.8654409999999998E-2</v>
      </c>
      <c r="V112" s="34">
        <v>0.10313576000000001</v>
      </c>
      <c r="W112" s="34">
        <v>0.11073872999999999</v>
      </c>
      <c r="X112" s="34"/>
      <c r="Y112" s="98"/>
    </row>
    <row r="113" spans="2:24" x14ac:dyDescent="0.2">
      <c r="B113" s="26" t="s">
        <v>139</v>
      </c>
      <c r="C113" s="34">
        <v>1E-3</v>
      </c>
      <c r="D113" s="34">
        <v>7.5373060000000006E-2</v>
      </c>
      <c r="E113" s="34">
        <v>4.6882050000000001E-2</v>
      </c>
      <c r="F113" s="34">
        <v>5.4216720000000003E-2</v>
      </c>
      <c r="G113" s="34">
        <v>6.7343109999999998E-2</v>
      </c>
      <c r="H113" s="34">
        <v>7.3281109999999997E-2</v>
      </c>
      <c r="I113" s="34">
        <v>6.3735609999999998E-2</v>
      </c>
      <c r="J113" s="34">
        <v>7.1999019999999997E-2</v>
      </c>
      <c r="K113" s="34">
        <v>7.7920139999999999E-2</v>
      </c>
      <c r="L113" s="34">
        <v>7.3665930000000004E-2</v>
      </c>
      <c r="M113" s="34">
        <v>9.2833230000000003E-2</v>
      </c>
      <c r="N113" s="34">
        <v>9.7499160000000001E-2</v>
      </c>
      <c r="O113" s="34">
        <v>0.10431984</v>
      </c>
      <c r="P113" s="34">
        <v>7.7692949999999997E-2</v>
      </c>
      <c r="Q113" s="34">
        <v>8.1896739999999996E-2</v>
      </c>
      <c r="R113" s="34">
        <v>7.226059E-2</v>
      </c>
      <c r="S113" s="34">
        <v>7.2475159999999997E-2</v>
      </c>
      <c r="T113" s="34">
        <v>7.2704249999999998E-2</v>
      </c>
      <c r="U113" s="34">
        <v>7.292216E-2</v>
      </c>
      <c r="V113" s="34">
        <v>7.3112590000000005E-2</v>
      </c>
      <c r="W113" s="34">
        <v>7.3435849999999997E-2</v>
      </c>
      <c r="X113" s="38"/>
    </row>
    <row r="114" spans="2:24" x14ac:dyDescent="0.2">
      <c r="B114" s="26" t="s">
        <v>140</v>
      </c>
      <c r="C114" s="34">
        <v>8.3818409999999996E-2</v>
      </c>
      <c r="D114" s="34">
        <v>6.9391629999999996E-2</v>
      </c>
      <c r="E114" s="34">
        <v>4.6492409999999998E-2</v>
      </c>
      <c r="F114" s="34">
        <v>4.9193250000000001E-2</v>
      </c>
      <c r="G114" s="34">
        <v>5.6712739999999998E-2</v>
      </c>
      <c r="H114" s="34">
        <v>6.4011879999999993E-2</v>
      </c>
      <c r="I114" s="34">
        <v>6.4931299999999997E-2</v>
      </c>
      <c r="J114" s="34">
        <v>6.3912460000000004E-2</v>
      </c>
      <c r="K114" s="34">
        <v>6.1693610000000003E-2</v>
      </c>
      <c r="L114" s="34">
        <v>5.4426040000000002E-2</v>
      </c>
      <c r="M114" s="34">
        <v>8.556656E-2</v>
      </c>
      <c r="N114" s="34">
        <v>8.1653809999999993E-2</v>
      </c>
      <c r="O114" s="34">
        <v>7.5878589999999996E-2</v>
      </c>
      <c r="P114" s="34">
        <v>6.1356269999999997E-2</v>
      </c>
      <c r="Q114" s="34">
        <v>8.1797350000000005E-2</v>
      </c>
      <c r="R114" s="34">
        <v>8.4442320000000001E-2</v>
      </c>
      <c r="S114" s="34">
        <v>6.0270190000000001E-2</v>
      </c>
      <c r="T114" s="34">
        <v>7.2970759999999996E-2</v>
      </c>
      <c r="U114" s="34">
        <v>5.7315959999999999E-2</v>
      </c>
      <c r="V114" s="34">
        <v>6.0796679999999999E-2</v>
      </c>
      <c r="W114" s="34">
        <v>5.7293660000000003E-2</v>
      </c>
      <c r="X114" s="38"/>
    </row>
    <row r="115" spans="2:24" x14ac:dyDescent="0.2">
      <c r="C115" s="38"/>
      <c r="D115" s="38"/>
      <c r="E115" s="34"/>
      <c r="F115" s="34"/>
      <c r="G115" s="38"/>
      <c r="H115" s="118"/>
      <c r="I115" s="118"/>
      <c r="J115" s="118"/>
      <c r="K115" s="118"/>
      <c r="L115" s="118"/>
      <c r="M115" s="118"/>
      <c r="N115" s="118"/>
      <c r="O115" s="118"/>
      <c r="P115" s="118"/>
      <c r="Q115" s="118"/>
      <c r="R115" s="118"/>
      <c r="S115" s="118"/>
      <c r="T115" s="118"/>
      <c r="U115" s="118"/>
      <c r="V115" s="118"/>
      <c r="W115" s="118"/>
      <c r="X115" s="38"/>
    </row>
    <row r="116" spans="2:24"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2:24" x14ac:dyDescent="0.2">
      <c r="D117" s="259"/>
      <c r="E117" s="259"/>
      <c r="F117" s="259"/>
      <c r="G117" s="259"/>
    </row>
    <row r="118" spans="2:24" x14ac:dyDescent="0.2">
      <c r="D118" s="259"/>
      <c r="E118" s="259"/>
      <c r="F118" s="259"/>
      <c r="G118" s="259"/>
      <c r="H118" s="259"/>
      <c r="I118" s="259"/>
      <c r="J118" s="259"/>
      <c r="K118" s="259"/>
      <c r="L118" s="259"/>
      <c r="M118" s="259"/>
      <c r="N118" s="259"/>
      <c r="O118" s="259"/>
      <c r="P118" s="259"/>
      <c r="Q118" s="259"/>
      <c r="R118" s="259"/>
      <c r="S118" s="259"/>
      <c r="T118" s="259"/>
      <c r="U118" s="121"/>
      <c r="V118" s="121"/>
      <c r="W118" s="121"/>
    </row>
    <row r="119" spans="2:24" x14ac:dyDescent="0.2">
      <c r="E119" s="34"/>
      <c r="F119" s="34"/>
      <c r="G119" s="121"/>
      <c r="H119" s="121"/>
      <c r="I119" s="121"/>
      <c r="J119" s="121"/>
      <c r="K119" s="121"/>
      <c r="L119" s="121"/>
      <c r="M119" s="121"/>
      <c r="N119" s="121"/>
      <c r="O119" s="121"/>
      <c r="P119" s="121"/>
      <c r="Q119" s="121"/>
      <c r="R119" s="121"/>
      <c r="S119" s="121"/>
      <c r="T119" s="121"/>
      <c r="U119" s="121"/>
      <c r="V119" s="121"/>
      <c r="W119" s="121"/>
      <c r="X119" s="121"/>
    </row>
    <row r="120" spans="2:24" x14ac:dyDescent="0.2">
      <c r="G120" s="121"/>
      <c r="H120" s="121"/>
      <c r="I120" s="121"/>
      <c r="J120" s="121"/>
      <c r="K120" s="121"/>
      <c r="L120" s="121"/>
      <c r="M120" s="121"/>
      <c r="N120" s="121"/>
      <c r="O120" s="121"/>
      <c r="P120" s="121"/>
      <c r="Q120" s="121"/>
      <c r="R120" s="121"/>
      <c r="S120" s="121"/>
      <c r="T120" s="121"/>
      <c r="U120" s="121"/>
      <c r="V120" s="121"/>
      <c r="W120" s="121"/>
      <c r="X120" s="121"/>
    </row>
    <row r="121" spans="2:24" x14ac:dyDescent="0.2">
      <c r="E121" s="34"/>
      <c r="F121" s="98"/>
      <c r="G121" s="98"/>
      <c r="H121" s="98"/>
      <c r="I121" s="98"/>
      <c r="J121" s="98"/>
      <c r="K121" s="98"/>
      <c r="L121" s="98"/>
      <c r="M121" s="98"/>
      <c r="N121" s="98"/>
      <c r="O121" s="98"/>
      <c r="P121" s="98"/>
      <c r="Q121" s="98"/>
      <c r="R121" s="98"/>
      <c r="S121" s="98"/>
      <c r="T121" s="98"/>
      <c r="U121" s="98"/>
      <c r="V121" s="98"/>
      <c r="W121" s="98"/>
      <c r="X121" s="121"/>
    </row>
    <row r="122" spans="2:24" x14ac:dyDescent="0.2">
      <c r="E122" s="34"/>
      <c r="F122" s="34"/>
      <c r="G122" s="121"/>
      <c r="H122" s="121"/>
      <c r="I122" s="121"/>
      <c r="J122" s="121"/>
      <c r="K122" s="121"/>
      <c r="L122" s="121"/>
      <c r="M122" s="121"/>
      <c r="N122" s="121"/>
      <c r="O122" s="121"/>
      <c r="P122" s="121"/>
      <c r="Q122" s="121"/>
      <c r="R122" s="121"/>
      <c r="S122" s="121"/>
      <c r="T122" s="121"/>
      <c r="U122" s="121"/>
      <c r="V122" s="121"/>
      <c r="W122" s="121"/>
      <c r="X122" s="121"/>
    </row>
    <row r="123" spans="2:24" x14ac:dyDescent="0.2">
      <c r="G123" s="121"/>
      <c r="H123" s="121"/>
      <c r="I123" s="121"/>
      <c r="J123" s="121"/>
      <c r="K123" s="121"/>
      <c r="L123" s="121"/>
      <c r="M123" s="121"/>
      <c r="N123" s="121"/>
      <c r="O123" s="121"/>
      <c r="P123" s="121"/>
      <c r="Q123" s="121"/>
      <c r="R123" s="121"/>
      <c r="S123" s="121"/>
      <c r="T123" s="121"/>
      <c r="U123" s="121"/>
      <c r="V123" s="121"/>
      <c r="W123" s="121"/>
      <c r="X123" s="121"/>
    </row>
  </sheetData>
  <conditionalFormatting sqref="U10:W43 U45:W52 U82:W103 U105:W129 U54:W80">
    <cfRule type="expression" dxfId="38"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5"/>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CY</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-1.437066</v>
      </c>
      <c r="D12" s="2">
        <f>'Input data'!D13</f>
        <v>2.087558</v>
      </c>
      <c r="E12" s="2">
        <f>'Input data'!E13</f>
        <v>3.2270470000000002</v>
      </c>
      <c r="F12" s="2">
        <f>'Input data'!F13</f>
        <v>3.482405</v>
      </c>
      <c r="G12" s="3">
        <f>IF(G10&lt;=$C$6,
IF(AND(F87=1,F77&lt;=-3.05,'Criteria results'!$F$6&lt;0.5),F12+0.5,
IF(AND(F78&lt;=-1.55,'Criteria results'!$F$5=4,'Criteria results'!$F$6&lt;0.4),F12+0.4,
IF(AND(F78&lt;=-1.55,'Criteria results'!$F$5=7,'Criteria results'!$F$6&lt;0.25),F12+0.25,
F12+'Criteria results'!$F$6))),F12)</f>
        <v>3.482405</v>
      </c>
      <c r="H12" s="3">
        <f>IF(H10&lt;=$C$6,
IF(AND(G87=1,G77&lt;=-3.05,'Criteria results'!$F$6&lt;0.5),G12+0.5,
IF(AND(G78&lt;=-1.55,'Criteria results'!$F$5=4,'Criteria results'!$F$6&lt;0.4),G12+0.4,
IF(AND(G78&lt;=-1.55,'Criteria results'!$F$5=7,'Criteria results'!$F$6&lt;0.25),G12+0.25,
G12+'Criteria results'!$F$6))),G12)</f>
        <v>3.482405</v>
      </c>
      <c r="I12" s="3">
        <f>IF(I10&lt;=$C$6,
IF(AND(H87=1,H77&lt;=-3.05,'Criteria results'!$F$6&lt;0.5),H12+0.5,
IF(AND(H78&lt;=-1.55,'Criteria results'!$F$5=4,'Criteria results'!$F$6&lt;0.4),H12+0.4,
IF(AND(H78&lt;=-1.55,'Criteria results'!$F$5=7,'Criteria results'!$F$6&lt;0.25),H12+0.25,
H12+'Criteria results'!$F$6))),H12)</f>
        <v>3.482405</v>
      </c>
      <c r="J12" s="3">
        <f>IF(J10&lt;=$C$6,
IF(AND(I87=1,I77&lt;=-3.05,'Criteria results'!$F$6&lt;0.5+J91),I12+0.5+J91,
IF(AND(I78&lt;=-1.55,'Criteria results'!$F$5=4,'Criteria results'!$F$6&lt;0.4),I12+0.4,
IF(AND(I78&lt;=-1.55,'Criteria results'!$F$5=7,'Criteria results'!$F$6&lt;0.25),I12+0.25,
I12+'Criteria results'!$F$6))),I12)</f>
        <v>3.482405</v>
      </c>
      <c r="K12" s="119">
        <f>IF(K10&lt;=$C$6,
IF(AND(J87=1,J77&lt;=-3.05,'Criteria results'!$F$6&lt;0.5+K91),J12+0.5+K91,
IF(AND(J78&lt;=-1.55,'Criteria results'!$F$5=4,'Criteria results'!$F$6&lt;0.4),J12+0.4,
IF(AND(J78&lt;=-1.55,'Criteria results'!$F$5=7,'Criteria results'!$F$6&lt;0.25),J12+0.25,
J12+'Criteria results'!$F$6))),J12)</f>
        <v>3.482405</v>
      </c>
      <c r="L12" s="119">
        <f>IF(L10&lt;=$C$6,
IF(AND(K87=1,K77&lt;=-3.05,'Criteria results'!$F$6&lt;0.5+L91),K12+0.5+L91,
IF(AND(K78&lt;=-1.55,'Criteria results'!$F$5=4,'Criteria results'!$F$6&lt;0.4),K12+0.4,
IF(AND(K78&lt;=-1.55,'Criteria results'!$F$5=7,'Criteria results'!$F$6&lt;0.25),K12+0.25,
K12+'Criteria results'!$F$6))),K12)</f>
        <v>3.482405</v>
      </c>
      <c r="M12" s="119">
        <f>IF(M10&lt;=$C$6,
IF(AND(L87=1,L77&lt;=-3.05,'Criteria results'!$F$6&lt;0.5+M91),L12+0.5+M91,
IF(AND(L78&lt;=-1.55,'Criteria results'!$F$5=4,'Criteria results'!$F$6&lt;0.4),L12+0.4,
IF(AND(L78&lt;=-1.55,'Criteria results'!$F$5=7,'Criteria results'!$F$6&lt;0.25),L12+0.25,
L12+'Criteria results'!$F$6))),L12)</f>
        <v>3.482405</v>
      </c>
      <c r="N12" s="119">
        <f>M12</f>
        <v>3.482405</v>
      </c>
      <c r="O12" s="119">
        <f t="shared" ref="O12:W12" si="0">N12</f>
        <v>3.482405</v>
      </c>
      <c r="P12" s="119">
        <f t="shared" si="0"/>
        <v>3.482405</v>
      </c>
      <c r="Q12" s="119">
        <f t="shared" si="0"/>
        <v>3.482405</v>
      </c>
      <c r="R12" s="119">
        <f t="shared" si="0"/>
        <v>3.482405</v>
      </c>
      <c r="S12" s="119">
        <f t="shared" si="0"/>
        <v>3.482405</v>
      </c>
      <c r="T12" s="119">
        <f t="shared" si="0"/>
        <v>3.482405</v>
      </c>
      <c r="U12" s="119">
        <f t="shared" si="0"/>
        <v>3.482405</v>
      </c>
      <c r="V12" s="119">
        <f t="shared" si="0"/>
        <v>3.482405</v>
      </c>
      <c r="W12" s="119">
        <f t="shared" si="0"/>
        <v>3.482405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191</v>
      </c>
      <c r="C13" s="29"/>
      <c r="D13" s="29"/>
      <c r="E13" s="29"/>
      <c r="F13" s="263"/>
      <c r="G13" s="263">
        <f>G12-F12</f>
        <v>0</v>
      </c>
      <c r="H13" s="263">
        <f t="shared" ref="H13:W13" si="1">H12-G12</f>
        <v>0</v>
      </c>
      <c r="I13" s="263">
        <f t="shared" si="1"/>
        <v>0</v>
      </c>
      <c r="J13" s="263">
        <f t="shared" si="1"/>
        <v>0</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8.0633499999999997E-2</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-4.4074220000000004</v>
      </c>
      <c r="D15" s="2">
        <f>'Input data'!D15</f>
        <v>-0.74485959999999996</v>
      </c>
      <c r="E15" s="2">
        <f>'Input data'!E15</f>
        <v>0.60125580000000001</v>
      </c>
      <c r="F15" s="2">
        <f>'Input data'!F15</f>
        <v>0.99131420000000003</v>
      </c>
      <c r="G15" s="2">
        <f>'Input data'!G15</f>
        <v>1.300675</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20.90879</v>
      </c>
      <c r="E18" s="101">
        <f>'Input data'!E20</f>
        <v>21.00188</v>
      </c>
      <c r="F18" s="101">
        <f>'Input data'!F20</f>
        <v>21.01275</v>
      </c>
      <c r="G18" s="101">
        <f>'Input data'!G20</f>
        <v>21.349210000000006</v>
      </c>
      <c r="H18" s="101">
        <f>'Input data'!H20</f>
        <v>21.616050000000001</v>
      </c>
      <c r="I18" s="101">
        <f>'Input data'!I20</f>
        <v>21.792829999999999</v>
      </c>
      <c r="J18" s="101">
        <f>'Input data'!J20</f>
        <v>21.931189999999997</v>
      </c>
      <c r="K18" s="101">
        <f>'Input data'!K20</f>
        <v>21.810479999999998</v>
      </c>
      <c r="L18" s="101">
        <f>'Input data'!L20</f>
        <v>22.04786</v>
      </c>
      <c r="M18" s="101">
        <f>'Input data'!M20</f>
        <v>22.285779999999999</v>
      </c>
      <c r="N18" s="101">
        <f>'Input data'!N20</f>
        <v>22.47654</v>
      </c>
      <c r="O18" s="101">
        <f>'Input data'!O20</f>
        <v>22.706669999999999</v>
      </c>
      <c r="P18" s="101">
        <f>'Input data'!P20</f>
        <v>22.857150000000004</v>
      </c>
      <c r="Q18" s="101">
        <f>'Input data'!Q20</f>
        <v>23.067840000000004</v>
      </c>
      <c r="R18" s="101">
        <f>'Input data'!R20</f>
        <v>23.210700000000003</v>
      </c>
      <c r="S18" s="101">
        <f>'Input data'!S20</f>
        <v>23.320980000000006</v>
      </c>
      <c r="T18" s="101">
        <f>'Input data'!T20</f>
        <v>23.423589999999997</v>
      </c>
      <c r="U18" s="101">
        <f>'Input data'!U20</f>
        <v>23.21922</v>
      </c>
      <c r="V18" s="101">
        <f>'Input data'!V20</f>
        <v>23.402750000000005</v>
      </c>
      <c r="W18" s="101">
        <f>'Input data'!W20</f>
        <v>23.416050000000002</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0.43526049999999999</v>
      </c>
      <c r="D19" s="101">
        <f>'Input data'!D26</f>
        <v>0.41113149999999998</v>
      </c>
      <c r="E19" s="101">
        <f>'Input data'!E26</f>
        <v>0.4049838</v>
      </c>
      <c r="F19" s="101">
        <f>'Input data'!F26</f>
        <v>0.39883610000000003</v>
      </c>
      <c r="G19" s="101">
        <f>'Input data'!G26</f>
        <v>0.3926885</v>
      </c>
      <c r="H19" s="101">
        <f>'Input data'!H26</f>
        <v>0.38654080000000002</v>
      </c>
      <c r="I19" s="101">
        <f>'Input data'!I26</f>
        <v>0.38039309999999998</v>
      </c>
      <c r="J19" s="101">
        <f>'Input data'!J26</f>
        <v>0.37424540000000001</v>
      </c>
      <c r="K19" s="101">
        <f>'Input data'!K26</f>
        <v>0.36809770000000003</v>
      </c>
      <c r="L19" s="101">
        <f>'Input data'!L26</f>
        <v>0.36194999999999999</v>
      </c>
      <c r="M19" s="101">
        <f>'Input data'!M26</f>
        <v>0.35580240000000002</v>
      </c>
      <c r="N19" s="101">
        <f>'Input data'!N26</f>
        <v>0.34965469999999998</v>
      </c>
      <c r="O19" s="101">
        <f>'Input data'!O26</f>
        <v>0.34350700000000001</v>
      </c>
      <c r="P19" s="101">
        <f>'Input data'!P26</f>
        <v>0.33735929999999997</v>
      </c>
      <c r="Q19" s="101">
        <f>'Input data'!Q26</f>
        <v>0.33121159999999999</v>
      </c>
      <c r="R19" s="101">
        <f>'Input data'!R26</f>
        <v>0.32506390000000002</v>
      </c>
      <c r="S19" s="101">
        <f>'Input data'!S26</f>
        <v>0.31891629999999999</v>
      </c>
      <c r="T19" s="101">
        <f>'Input data'!T26</f>
        <v>0.31276860000000001</v>
      </c>
      <c r="U19" s="101">
        <f>'Input data'!U26</f>
        <v>0.30662089999999997</v>
      </c>
      <c r="V19" s="101">
        <f>'Input data'!V26</f>
        <v>0.3004732</v>
      </c>
      <c r="W19" s="101">
        <f>'Input data'!W26</f>
        <v>0.29432550000000002</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23.926369999999999</v>
      </c>
      <c r="D23" s="100">
        <f>'Baseline NFPC'!D22</f>
        <v>25.136550003195801</v>
      </c>
      <c r="E23" s="100">
        <f>'Baseline NFPC'!E22</f>
        <v>25.755220072397957</v>
      </c>
      <c r="F23" s="100">
        <f>'Baseline NFPC'!F22</f>
        <v>26.470858995717016</v>
      </c>
      <c r="G23" s="34">
        <f>IF(AND(G50&gt;1,F50&gt;1),IF(AND(G50&gt;0,F50&gt;0),G27*(G51/100+1),0)+IF(G50&gt;0,F23*(1+G52/100),0)-F23*(1+'Input data'!G30/100),IF(G50=1,G27,F23*(1+G52/100)))</f>
        <v>27.268041090968172</v>
      </c>
      <c r="H23" s="34">
        <f>IF(AND(H50&gt;1,G50&gt;1),IF(AND(H50&gt;0,G50&gt;0),H27*(H51/100+1),0)+IF(H50&gt;0,G23*(1+H52/100),0)-G23*(1+'Input data'!H30/100),IF(H50=1,H27,G23*(1+H52/100)))</f>
        <v>27.867541790332417</v>
      </c>
      <c r="I23" s="34">
        <f>IF(AND(I50&gt;1,H50&gt;1),IF(AND(I50&gt;0,H50&gt;0),I27*(I51/100+1),0)+IF(I50&gt;0,H23*(1+I52/100),0)-H23*(1+'Input data'!I30/100),IF(I50=1,I27,H23*(1+I52/100)))</f>
        <v>28.297141405037568</v>
      </c>
      <c r="J23" s="34">
        <f>IF(AND(J50&gt;1,I50&gt;1),IF(AND(J50&gt;0,I50&gt;0),J27*(J51/100+1),0)+IF(J50&gt;0,I23*(1+J52/100),0)-I23*(1+'Input data'!J30/100),IF(J50=1,J27,I23*(1+J52/100)))</f>
        <v>28.749593171076548</v>
      </c>
      <c r="K23" s="34">
        <f>IF(AND(K50&gt;1,J50&gt;1),IF(AND(K50&gt;0,J50&gt;0),K27*(K51/100+1),0)+IF(K50&gt;0,J23*(1+K52/100),0)-J23*(1+'Input data'!K30/100),IF(K50=1,K27,J23*(1+K52/100)))</f>
        <v>29.22770638040577</v>
      </c>
      <c r="L23" s="34">
        <f>IF(AND(L50&gt;1,K50&gt;1),IF(AND(L50&gt;0,K50&gt;0),L27*(L51/100+1),0)+IF(L50&gt;0,K23*(1+L52/100),0)-K23*(1+'Input data'!L30/100),IF(L50=1,L27,K23*(1+L52/100)))</f>
        <v>29.688655368622893</v>
      </c>
      <c r="M23" s="34">
        <f>IF(AND(M50&gt;1,L50&gt;1),IF(AND(M50&gt;0,L50&gt;0),M27*(M51/100+1),0)+IF(M50&gt;0,L23*(1+M52/100),0)-L23*(1+'Input data'!M30/100),IF(M50=1,M27,L23*(1+M52/100)))</f>
        <v>30.141437051649756</v>
      </c>
      <c r="N23" s="34">
        <f>IF(AND(N50&gt;1,M50&gt;1),IF(AND(N50&gt;0,M50&gt;0),N27*(N51/100+1),0)+IF(N50&gt;0,M23*(1+N52/100),0)-M23*(1+'Input data'!N30/100),IF(N50=1,N27,M23*(1+N52/100)))</f>
        <v>30.593459442096599</v>
      </c>
      <c r="O23" s="34">
        <f>IF(AND(O50&gt;1,N50&gt;1),IF(AND(O50&gt;0,N50&gt;0),O27*(O51/100+1),0)+IF(O50&gt;0,N23*(1+O52/100),0)-N23*(1+'Input data'!O30/100),IF(O50=1,O27,N23*(1+O52/100)))</f>
        <v>31.043933141586344</v>
      </c>
      <c r="P23" s="34">
        <f>IF(AND(P50&gt;1,O50&gt;1),IF(AND(P50&gt;0,O50&gt;0),P27*(P51/100+1),0)+IF(P50&gt;0,O23*(1+P52/100),0)-O23*(1+'Input data'!P30/100),IF(P50=1,P27,O23*(1+P52/100)))</f>
        <v>31.52105262750802</v>
      </c>
      <c r="Q23" s="34">
        <f>IF(AND(Q50&gt;1,P50&gt;1),IF(AND(Q50&gt;0,P50&gt;0),Q27*(Q51/100+1),0)+IF(Q50&gt;0,P23*(1+Q52/100),0)-P23*(1+'Input data'!Q30/100),IF(Q50=1,Q27,P23*(1+Q52/100)))</f>
        <v>32.025826666548092</v>
      </c>
      <c r="R23" s="34">
        <f>IF(AND(R50&gt;1,Q50&gt;1),IF(AND(R50&gt;0,Q50&gt;0),R27*(R51/100+1),0)+IF(R50&gt;0,Q23*(1+R52/100),0)-Q23*(1+'Input data'!R30/100),IF(R50=1,R27,Q23*(1+R52/100)))</f>
        <v>32.559331141880648</v>
      </c>
      <c r="S23" s="34">
        <f>IF(AND(S50&gt;1,R50&gt;1),IF(AND(S50&gt;0,R50&gt;0),S27*(S51/100+1),0)+IF(S50&gt;0,R23*(1+S52/100),0)-R23*(1+'Input data'!S30/100),IF(S50=1,S27,R23*(1+S52/100)))</f>
        <v>33.130021330336191</v>
      </c>
      <c r="T23" s="34">
        <f>IF(AND(T50&gt;1,S50&gt;1),IF(AND(T50&gt;0,S50&gt;0),T27*(T51/100+1),0)+IF(T50&gt;0,S23*(1+T52/100),0)-S23*(1+'Input data'!T30/100),IF(T50=1,T27,S23*(1+T52/100)))</f>
        <v>33.728661600362997</v>
      </c>
      <c r="U23" s="34">
        <f>IF(AND(U50&gt;1,T50&gt;1),IF(AND(U50&gt;0,T50&gt;0),U27*(U51/100+1),0)+IF(U50&gt;0,T23*(1+U52/100),0)-T23*(1+'Input data'!U30/100),IF(U50=1,U27,T23*(1+U52/100)))</f>
        <v>34.360226741390399</v>
      </c>
      <c r="V23" s="34">
        <f>IF(AND(V50&gt;1,U50&gt;1),IF(AND(V50&gt;0,U50&gt;0),V27*(V51/100+1),0)+IF(V50&gt;0,U23*(1+V52/100),0)-U23*(1+'Input data'!V30/100),IF(V50=1,V27,U23*(1+V52/100)))</f>
        <v>35.027607830604296</v>
      </c>
      <c r="W23" s="34">
        <f>IF(AND(W50&gt;1,V50&gt;1),IF(AND(W50&gt;0,V50&gt;0),W27*(W51/100+1),0)+IF(W50&gt;0,V23*(1+W52/100),0)-V23*(1+'Input data'!W30/100),IF(W50=1,W27,V23*(1+W52/100)))</f>
        <v>35.696461403234004</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9.9113959999999999</v>
      </c>
      <c r="D24" s="100">
        <f>'Baseline NFPC'!D23</f>
        <v>5.0579340000000004</v>
      </c>
      <c r="E24" s="100">
        <f>'Baseline NFPC'!E23</f>
        <v>2.4612370000000001</v>
      </c>
      <c r="F24" s="100">
        <f>'Baseline NFPC'!F23</f>
        <v>2.7786170000000001</v>
      </c>
      <c r="G24" s="34">
        <f t="shared" ref="G24:S24" si="2">100*(G23/F23-1)</f>
        <v>3.0115459999999983</v>
      </c>
      <c r="H24" s="34">
        <f t="shared" si="2"/>
        <v>2.1985469999999951</v>
      </c>
      <c r="I24" s="34">
        <f t="shared" si="2"/>
        <v>1.541576999999994</v>
      </c>
      <c r="J24" s="34">
        <f t="shared" si="2"/>
        <v>1.5989309999999923</v>
      </c>
      <c r="K24" s="34">
        <f t="shared" si="2"/>
        <v>1.6630259999999897</v>
      </c>
      <c r="L24" s="34">
        <f t="shared" si="2"/>
        <v>1.5770960000000001</v>
      </c>
      <c r="M24" s="34">
        <f t="shared" si="2"/>
        <v>1.5250999999999904</v>
      </c>
      <c r="N24" s="34">
        <f t="shared" si="2"/>
        <v>1.4996709999999913</v>
      </c>
      <c r="O24" s="34">
        <f t="shared" si="2"/>
        <v>1.4724509999999968</v>
      </c>
      <c r="P24" s="34">
        <f t="shared" si="2"/>
        <v>1.5369170000000043</v>
      </c>
      <c r="Q24" s="34">
        <f t="shared" si="2"/>
        <v>1.6013870000000097</v>
      </c>
      <c r="R24" s="34">
        <f t="shared" si="2"/>
        <v>1.6658569999999928</v>
      </c>
      <c r="S24" s="34">
        <f t="shared" si="2"/>
        <v>1.7527700000000035</v>
      </c>
      <c r="T24" s="34">
        <f>100*(T23/S23-1)</f>
        <v>1.8069420000000003</v>
      </c>
      <c r="U24" s="34">
        <f t="shared" ref="U24" si="3">100*(U23/T23-1)</f>
        <v>1.8724879999999944</v>
      </c>
      <c r="V24" s="34">
        <f t="shared" ref="V24" si="4">100*(V23/U23-1)</f>
        <v>1.9423069999999987</v>
      </c>
      <c r="W24" s="34">
        <f t="shared" ref="W24" si="5">100*(W23/V23-1)</f>
        <v>1.9095040000000063</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23.334579999999999</v>
      </c>
      <c r="D27" s="100">
        <f>+C27*(1+'Input data'!D33/100)</f>
        <v>24.1267537557842</v>
      </c>
      <c r="E27" s="100">
        <f>+D27*(1+'Input data'!E33/100)</f>
        <v>25.109058128758399</v>
      </c>
      <c r="F27" s="100">
        <f>+E27*(1+'Input data'!F33/100)</f>
        <v>26.049688893656899</v>
      </c>
      <c r="G27" s="34">
        <f>+F27*(1+'Input data'!G33/100)</f>
        <v>26.971436034910944</v>
      </c>
      <c r="H27" s="34">
        <f>+G27*(1+'Input data'!H33/100)</f>
        <v>27.664722233612871</v>
      </c>
      <c r="I27" s="34">
        <f>+H27*(1+'Input data'!I33/100)</f>
        <v>28.228160225339305</v>
      </c>
      <c r="J27" s="34">
        <f>+I27*(1+'Input data'!J33/100)</f>
        <v>28.749596164372218</v>
      </c>
      <c r="K27" s="34">
        <f>+J27*(1+'Input data'!K33/100)</f>
        <v>29.227709423480729</v>
      </c>
      <c r="L27" s="34">
        <f>+K27*(1+'Input data'!L33/100)</f>
        <v>29.688657875135874</v>
      </c>
      <c r="M27" s="34">
        <f>+L27*(1+'Input data'!M33/100)</f>
        <v>30.141439596389567</v>
      </c>
      <c r="N27" s="34">
        <f>+M27*(1+'Input data'!N33/100)</f>
        <v>30.593462627827932</v>
      </c>
      <c r="O27" s="34">
        <f>+N27*(1+'Input data'!O33/100)</f>
        <v>31.04393576235676</v>
      </c>
      <c r="P27" s="34">
        <f>+O27*(1+'Input data'!P33/100)</f>
        <v>31.521055909436214</v>
      </c>
      <c r="Q27" s="34">
        <f>+P27*(1+'Input data'!Q33/100)</f>
        <v>32.025830946664328</v>
      </c>
      <c r="R27" s="34">
        <f>+Q27*(1+'Input data'!R33/100)</f>
        <v>32.559336454072429</v>
      </c>
      <c r="S27" s="34">
        <f>+R27*(1+'Input data'!S33/100)</f>
        <v>33.130027712418574</v>
      </c>
      <c r="T27" s="34">
        <f>+S27*(1+'Input data'!T33/100)</f>
        <v>33.728667766465627</v>
      </c>
      <c r="U27" s="34">
        <f>+T27*(1+'Input data'!U33/100)</f>
        <v>34.360231673805849</v>
      </c>
      <c r="V27" s="34">
        <f>+U27*(1+'Input data'!V33/100)</f>
        <v>35.027612858822394</v>
      </c>
      <c r="W27" s="34">
        <f>+V27*(1+'Input data'!W33/100)</f>
        <v>35.696466877742253</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2.5361073565498105</v>
      </c>
      <c r="D30" s="100">
        <f t="shared" ref="D30:T30" si="6">100*(D23/D27-1)</f>
        <v>4.1853796728435144</v>
      </c>
      <c r="E30" s="100">
        <f t="shared" si="6"/>
        <v>2.5734216724739856</v>
      </c>
      <c r="F30" s="100">
        <f t="shared" si="6"/>
        <v>1.6167951324849383</v>
      </c>
      <c r="G30" s="34">
        <f t="shared" si="6"/>
        <v>1.0997006450576441</v>
      </c>
      <c r="H30" s="34">
        <f t="shared" si="6"/>
        <v>0.73313426032928231</v>
      </c>
      <c r="I30" s="34">
        <f t="shared" si="6"/>
        <v>0.2443700869897425</v>
      </c>
      <c r="J30" s="34">
        <f t="shared" si="6"/>
        <v>-1.0411609441263181E-5</v>
      </c>
      <c r="K30" s="34">
        <f t="shared" si="6"/>
        <v>-1.0411609452365411E-5</v>
      </c>
      <c r="L30" s="34">
        <f t="shared" si="6"/>
        <v>-8.4426618141009158E-6</v>
      </c>
      <c r="M30" s="34">
        <f>100*(M23/M27-1)</f>
        <v>-8.4426618141009158E-6</v>
      </c>
      <c r="N30" s="34">
        <f t="shared" si="6"/>
        <v>-1.0413111362073124E-5</v>
      </c>
      <c r="O30" s="34">
        <f t="shared" si="6"/>
        <v>-8.4421332258166615E-6</v>
      </c>
      <c r="P30" s="34">
        <f t="shared" si="6"/>
        <v>-1.0411859940884227E-5</v>
      </c>
      <c r="Q30" s="34">
        <f t="shared" si="6"/>
        <v>-1.336457512435274E-5</v>
      </c>
      <c r="R30" s="34">
        <f t="shared" si="6"/>
        <v>-1.631541781677015E-5</v>
      </c>
      <c r="S30" s="34">
        <f t="shared" si="6"/>
        <v>-1.9263739947650294E-5</v>
      </c>
      <c r="T30" s="34">
        <f t="shared" si="6"/>
        <v>-1.8281488822768921E-5</v>
      </c>
      <c r="U30" s="34">
        <f t="shared" ref="U30:W30" si="7">100*(U23/U27-1)</f>
        <v>-1.435501220115043E-5</v>
      </c>
      <c r="V30" s="34">
        <f t="shared" si="7"/>
        <v>-1.435501220115043E-5</v>
      </c>
      <c r="W30" s="34">
        <f t="shared" si="7"/>
        <v>-1.5336274783450676E-5</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8">100*((1+C24/100)*(1+C42/100)-1)</f>
        <v>12.863001691856368</v>
      </c>
      <c r="D33" s="2">
        <f t="shared" si="8"/>
        <v>11.430702050949048</v>
      </c>
      <c r="E33" s="2">
        <f t="shared" si="8"/>
        <v>7.3089281278882812</v>
      </c>
      <c r="F33" s="2">
        <f>100*((1+F24/100)*(1+F42/100)-1)</f>
        <v>6.5951837746716091</v>
      </c>
      <c r="G33" s="1">
        <f>100*((1+G24/100)*(1+G42/100)-1)</f>
        <v>5.4581989819325161</v>
      </c>
      <c r="H33" s="1">
        <f t="shared" si="8"/>
        <v>4.6482302030670164</v>
      </c>
      <c r="I33" s="1">
        <f t="shared" si="8"/>
        <v>3.9977090889159461</v>
      </c>
      <c r="J33" s="1">
        <f t="shared" si="8"/>
        <v>4.0786592838835789</v>
      </c>
      <c r="K33" s="1">
        <f t="shared" si="8"/>
        <v>4.1665415546412454</v>
      </c>
      <c r="L33" s="1">
        <f t="shared" si="8"/>
        <v>4.1006995930137569</v>
      </c>
      <c r="M33" s="1">
        <f t="shared" si="8"/>
        <v>4.0696045453437524</v>
      </c>
      <c r="N33" s="1">
        <f t="shared" si="8"/>
        <v>4.0657254167923318</v>
      </c>
      <c r="O33" s="1">
        <f t="shared" si="8"/>
        <v>4.0599985005000061</v>
      </c>
      <c r="P33" s="1">
        <f t="shared" si="8"/>
        <v>4.0981857313250103</v>
      </c>
      <c r="Q33" s="1">
        <f t="shared" si="8"/>
        <v>4.136341605650018</v>
      </c>
      <c r="R33" s="1">
        <f t="shared" si="8"/>
        <v>4.1744620214750006</v>
      </c>
      <c r="S33" s="1">
        <f t="shared" si="8"/>
        <v>4.2355375879999935</v>
      </c>
      <c r="T33" s="1">
        <f t="shared" si="8"/>
        <v>4.2630344757500049</v>
      </c>
      <c r="U33" s="1">
        <f>100*((1+U24/100)*(1+U42/100)-1)</f>
        <v>4.3021468387999917</v>
      </c>
      <c r="V33" s="1">
        <f t="shared" si="8"/>
        <v>4.3455968875249829</v>
      </c>
      <c r="W33" s="1">
        <f t="shared" si="8"/>
        <v>4.2839954432000171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1.716024</v>
      </c>
      <c r="D36" s="100">
        <f>'Input data'!D37</f>
        <v>1.648296</v>
      </c>
      <c r="E36" s="100">
        <f>'Input data'!E37</f>
        <v>1.80772</v>
      </c>
      <c r="F36" s="100">
        <f>'Input data'!F37</f>
        <v>1.9077200000000001</v>
      </c>
      <c r="G36" s="100">
        <f>'Input data'!G37</f>
        <v>1.9077200000000001</v>
      </c>
      <c r="H36" s="34">
        <f t="shared" ref="H36:W36" si="9">H109</f>
        <v>2.0510578068871177</v>
      </c>
      <c r="I36" s="34">
        <f t="shared" si="9"/>
        <v>2.1928297708470597</v>
      </c>
      <c r="J36" s="34">
        <f t="shared" si="9"/>
        <v>2.3254135666366342</v>
      </c>
      <c r="K36" s="34">
        <f t="shared" si="9"/>
        <v>2.456688810666209</v>
      </c>
      <c r="L36" s="34">
        <f t="shared" si="9"/>
        <v>2.5695749739605018</v>
      </c>
      <c r="M36" s="34">
        <f t="shared" si="9"/>
        <v>2.6610083125532871</v>
      </c>
      <c r="N36" s="34">
        <f t="shared" si="9"/>
        <v>2.7540713789584186</v>
      </c>
      <c r="O36" s="34">
        <f t="shared" si="9"/>
        <v>2.7790985417613721</v>
      </c>
      <c r="P36" s="34">
        <f t="shared" si="9"/>
        <v>2.7993131071539921</v>
      </c>
      <c r="Q36" s="34">
        <f t="shared" si="9"/>
        <v>2.81589510571595</v>
      </c>
      <c r="R36" s="34">
        <f t="shared" si="9"/>
        <v>2.8320534161572186</v>
      </c>
      <c r="S36" s="34">
        <f t="shared" si="9"/>
        <v>2.8451672602399016</v>
      </c>
      <c r="T36" s="34">
        <f t="shared" si="9"/>
        <v>2.8560049688341924</v>
      </c>
      <c r="U36" s="34">
        <f t="shared" si="9"/>
        <v>2.8593154301133357</v>
      </c>
      <c r="V36" s="34">
        <f t="shared" si="9"/>
        <v>2.8593154311036688</v>
      </c>
      <c r="W36" s="34">
        <f t="shared" si="9"/>
        <v>2.8593154311036688</v>
      </c>
    </row>
    <row r="37" spans="2:51" x14ac:dyDescent="0.2">
      <c r="B37" s="32" t="s">
        <v>94</v>
      </c>
      <c r="C37" s="1"/>
      <c r="D37" s="2">
        <f>'Input data'!D$39</f>
        <v>2.96</v>
      </c>
      <c r="E37" s="2">
        <f>'Input data'!E$39</f>
        <v>3.91</v>
      </c>
      <c r="F37" s="166">
        <f>'Input data'!F$39</f>
        <v>3.3161689999999999</v>
      </c>
      <c r="G37" s="166">
        <f>'Input data'!G$39</f>
        <v>3.3153579999999998</v>
      </c>
      <c r="H37" s="1">
        <f>G37+($O$37-$G$37)/($O$10-$G$10)</f>
        <v>3.381707</v>
      </c>
      <c r="I37" s="1">
        <f t="shared" ref="I37:N37" si="10">H37+($O$37-$G$37)/($O$10-$G$10)</f>
        <v>3.4480560000000002</v>
      </c>
      <c r="J37" s="1">
        <f t="shared" si="10"/>
        <v>3.5144050000000004</v>
      </c>
      <c r="K37" s="1">
        <f t="shared" si="10"/>
        <v>3.5807540000000007</v>
      </c>
      <c r="L37" s="1">
        <f t="shared" si="10"/>
        <v>3.6471030000000009</v>
      </c>
      <c r="M37" s="1">
        <f t="shared" si="10"/>
        <v>3.7134520000000011</v>
      </c>
      <c r="N37" s="1">
        <f t="shared" si="10"/>
        <v>3.7798010000000013</v>
      </c>
      <c r="O37" s="252">
        <f>'Input data'!$C$52</f>
        <v>3.8461500000000002</v>
      </c>
      <c r="P37" s="1">
        <f>'Baseline NFPC'!P36</f>
        <v>3.8538425000000003</v>
      </c>
      <c r="Q37" s="1">
        <f>'Baseline NFPC'!Q36</f>
        <v>3.8615349999999999</v>
      </c>
      <c r="R37" s="1">
        <f>'Baseline NFPC'!R36</f>
        <v>3.8692275</v>
      </c>
      <c r="S37" s="1">
        <f>'Baseline NFPC'!S36</f>
        <v>3.8769200000000001</v>
      </c>
      <c r="T37" s="1">
        <f>'Baseline NFPC'!T36</f>
        <v>3.8846125000000002</v>
      </c>
      <c r="U37" s="1">
        <f>'Baseline NFPC'!U36</f>
        <v>3.8923050000000003</v>
      </c>
      <c r="V37" s="1">
        <f>'Baseline NFPC'!V36</f>
        <v>3.8999975</v>
      </c>
      <c r="W37" s="1">
        <f>'Baseline NFPC'!W36</f>
        <v>3.9076900000000001</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3.8019160000000003E-2</v>
      </c>
      <c r="D39" s="34">
        <f>'Baseline NFPC'!D38</f>
        <v>7.8597440000000005E-2</v>
      </c>
      <c r="E39" s="34">
        <f>'Baseline NFPC'!E38</f>
        <v>5.9475470000000003E-2</v>
      </c>
      <c r="F39" s="34">
        <f>'Baseline NFPC'!F38</f>
        <v>9.6876959999999998E-2</v>
      </c>
      <c r="G39" s="34">
        <f>'Baseline NFPC'!G38</f>
        <v>0.11684023</v>
      </c>
      <c r="H39" s="34">
        <f>'Baseline NFPC'!H38</f>
        <v>0.13811532000000001</v>
      </c>
      <c r="I39" s="34">
        <f>'Baseline NFPC'!I38</f>
        <v>0.13659083</v>
      </c>
      <c r="J39" s="34">
        <f>'Baseline NFPC'!J38</f>
        <v>0.14219135999999999</v>
      </c>
      <c r="K39" s="34">
        <f>'Baseline NFPC'!K38</f>
        <v>0.1389396</v>
      </c>
      <c r="L39" s="34">
        <f>'Baseline NFPC'!L38</f>
        <v>0.12512538000000001</v>
      </c>
      <c r="M39" s="34">
        <f>'Baseline NFPC'!M38</f>
        <v>0.12849179999999999</v>
      </c>
      <c r="N39" s="34">
        <f>'Baseline NFPC'!N38</f>
        <v>7.2085140000000006E-2</v>
      </c>
      <c r="O39" s="34">
        <f>'Baseline NFPC'!O38</f>
        <v>6.8681389999999995E-2</v>
      </c>
      <c r="P39" s="34">
        <f>'Baseline NFPC'!P38</f>
        <v>6.8049499999999999E-2</v>
      </c>
      <c r="Q39" s="34">
        <f>'Baseline NFPC'!Q38</f>
        <v>6.8080779999999994E-2</v>
      </c>
      <c r="R39" s="34">
        <f>'Baseline NFPC'!R38</f>
        <v>6.7666320000000002E-2</v>
      </c>
      <c r="S39" s="34">
        <f>'Baseline NFPC'!S38</f>
        <v>6.9220519999999994E-2</v>
      </c>
      <c r="T39" s="34">
        <f>'Baseline NFPC'!T38</f>
        <v>6.6629789999999994E-2</v>
      </c>
      <c r="U39" s="34">
        <f>'Baseline NFPC'!U38</f>
        <v>6.6434309999999996E-2</v>
      </c>
      <c r="V39" s="34">
        <f>'Baseline NFPC'!V38</f>
        <v>6.6393380000000002E-2</v>
      </c>
      <c r="W39" s="34">
        <f>'Baseline NFPC'!W38</f>
        <v>6.621254E-2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2.685441</v>
      </c>
      <c r="D42" s="2">
        <f>'Input data'!D42</f>
        <v>6.0659559999999999</v>
      </c>
      <c r="E42" s="2">
        <f>'Input data'!E42</f>
        <v>4.7312440000000002</v>
      </c>
      <c r="F42" s="2">
        <f>'Input data'!F42</f>
        <v>3.7133859999999999</v>
      </c>
      <c r="G42" s="2">
        <f>'Input data'!G42</f>
        <v>2.3751250000000002</v>
      </c>
      <c r="H42" s="1">
        <f>'Baseline NFPC'!H41</f>
        <v>2.3969843750000002</v>
      </c>
      <c r="I42" s="1">
        <f>'Baseline NFPC'!I41</f>
        <v>2.4188437500000002</v>
      </c>
      <c r="J42" s="1">
        <f>'Baseline NFPC'!J41</f>
        <v>2.4407031250000002</v>
      </c>
      <c r="K42" s="1">
        <f>'Baseline NFPC'!K41</f>
        <v>2.4625624999999998</v>
      </c>
      <c r="L42" s="1">
        <f>'Baseline NFPC'!L41</f>
        <v>2.4844218749999998</v>
      </c>
      <c r="M42" s="1">
        <f>'Baseline NFPC'!M41</f>
        <v>2.5062812499999998</v>
      </c>
      <c r="N42" s="1">
        <f>'Baseline NFPC'!N41</f>
        <v>2.5281406249999998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v>
      </c>
      <c r="D43" s="1">
        <f>'Baseline NFPC'!D42</f>
        <v>1</v>
      </c>
      <c r="E43" s="1">
        <f>'Baseline NFPC'!E42</f>
        <v>1</v>
      </c>
      <c r="F43" s="1">
        <f>'Baseline NFPC'!F42</f>
        <v>1</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257</v>
      </c>
      <c r="C48" s="57">
        <f>'Input data'!C50</f>
        <v>0.504</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0</v>
      </c>
      <c r="H50" s="34">
        <f>IF(AND(ABS((H12-G12)-('Input data'!H13-'Input data'!G13))&gt;0.0001,ABS(H12-G12)&gt;0.0001,H$10&gt;$C$5),4,IF(G50=4,3,IF(G50=3,2,IF(G50=2,1,0))))</f>
        <v>0</v>
      </c>
      <c r="I50" s="34">
        <f>IF(AND(ABS((I12-H12)-('Input data'!I13-'Input data'!H13))&gt;0.0001,ABS(I12-H12)&gt;0.0001,I$10&gt;$C$5),4,IF(H50=4,3,IF(H50=3,2,IF(H50=2,1,0))))</f>
        <v>0</v>
      </c>
      <c r="J50" s="34">
        <f>IF(AND(ABS((J12-I12)-('Input data'!J13-'Input data'!I13))&gt;0.0001,ABS(J12-I12)&gt;0.0001,J$10&gt;$C$5),4,IF(I50=4,3,IF(I50=3,2,IF(I50=2,1,0))))</f>
        <v>0</v>
      </c>
      <c r="K50" s="34">
        <f>IF(AND(ABS((K12-J12)-('Input data'!K13-'Input data'!J13))&gt;0.0001,ABS(K12-J12)&gt;0.0001,K$10&gt;$C$5),4,IF(J50=4,3,IF(J50=3,2,IF(J50=2,1,0))))</f>
        <v>0</v>
      </c>
      <c r="L50" s="34">
        <f>IF(AND(ABS((L12-K12)-('Input data'!L13-'Input data'!K13))&gt;0.0001,ABS(L12-K12)&gt;0.0001,L$10&gt;$C$5),4,IF(K50=4,3,IF(K50=3,2,IF(K50=2,1,0))))</f>
        <v>0</v>
      </c>
      <c r="M50" s="34">
        <f>IF(AND(ABS((M12-L12)-('Input data'!M13-'Input data'!L13))&gt;0.0001,ABS(M12-L12)&gt;0.0001,M$10&gt;$C$5),4,IF(L50=4,3,IF(L50=3,2,IF(L50=2,1,0))))</f>
        <v>0</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12">IF(C50=4,2/3*C30,IF(C50=3,1/3*B30,0))</f>
        <v>0</v>
      </c>
      <c r="E51" s="34">
        <f t="shared" si="12"/>
        <v>0</v>
      </c>
      <c r="F51" s="34">
        <f t="shared" si="12"/>
        <v>0</v>
      </c>
      <c r="G51" s="34">
        <f t="shared" si="12"/>
        <v>0</v>
      </c>
      <c r="H51" s="34">
        <f t="shared" si="12"/>
        <v>0</v>
      </c>
      <c r="I51" s="34">
        <f t="shared" si="12"/>
        <v>0</v>
      </c>
      <c r="J51" s="34">
        <f t="shared" si="12"/>
        <v>0</v>
      </c>
      <c r="K51" s="34">
        <f t="shared" si="12"/>
        <v>0</v>
      </c>
      <c r="L51" s="34">
        <f t="shared" si="12"/>
        <v>0</v>
      </c>
      <c r="M51" s="34">
        <f t="shared" si="12"/>
        <v>0</v>
      </c>
      <c r="N51" s="34">
        <f t="shared" si="12"/>
        <v>0</v>
      </c>
      <c r="O51" s="34">
        <f t="shared" si="12"/>
        <v>0</v>
      </c>
      <c r="P51" s="34">
        <f t="shared" si="12"/>
        <v>0</v>
      </c>
      <c r="Q51" s="34">
        <f t="shared" si="12"/>
        <v>0</v>
      </c>
      <c r="R51" s="34">
        <f t="shared" si="12"/>
        <v>0</v>
      </c>
      <c r="S51" s="34">
        <f t="shared" si="12"/>
        <v>0</v>
      </c>
      <c r="T51" s="34">
        <f t="shared" si="12"/>
        <v>0</v>
      </c>
      <c r="U51" s="34">
        <f t="shared" si="12"/>
        <v>0</v>
      </c>
      <c r="V51" s="34">
        <f t="shared" si="12"/>
        <v>0</v>
      </c>
      <c r="W51" s="34">
        <f t="shared" si="12"/>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5.0579340000000004</v>
      </c>
      <c r="E52" s="34">
        <f>'Input data'!E30-$C$47*((E12-D12)-('Input data'!E13-'Input data'!D13))</f>
        <v>2.4612370000000001</v>
      </c>
      <c r="F52" s="34">
        <f>'Input data'!F30-$C$47*((F12-E12)-('Input data'!F13-'Input data'!E13))</f>
        <v>2.7786170000000001</v>
      </c>
      <c r="G52" s="34">
        <f>'Input data'!G30-$C$47*((G12-F12))</f>
        <v>3.0115460000000001</v>
      </c>
      <c r="H52" s="34">
        <f>'Input data'!H30-$C$47*((H12-G12))</f>
        <v>2.198547</v>
      </c>
      <c r="I52" s="34">
        <f>'Input data'!I30-$C$47*((I12-H12))</f>
        <v>1.541577</v>
      </c>
      <c r="J52" s="34">
        <f>'Input data'!J30-$C$47*((J12-I12))</f>
        <v>1.5989310000000001</v>
      </c>
      <c r="K52" s="34">
        <f>'Input data'!K30-$C$47*((K12-J12))</f>
        <v>1.6630259999999999</v>
      </c>
      <c r="L52" s="34">
        <f>'Input data'!L30-$C$47*((L12-K12))</f>
        <v>1.5770960000000001</v>
      </c>
      <c r="M52" s="34">
        <f>'Input data'!M30-$C$47*((M12-L12))</f>
        <v>1.5250999999999999</v>
      </c>
      <c r="N52" s="34">
        <f>'Input data'!N30-$C$47*((N12-M12))</f>
        <v>1.499671</v>
      </c>
      <c r="O52" s="34">
        <f>'Input data'!O30-$C$47*((O12-N12))</f>
        <v>1.472451</v>
      </c>
      <c r="P52" s="34">
        <f>'Input data'!P30-$C$47*((P12-O12))</f>
        <v>1.5369170000000001</v>
      </c>
      <c r="Q52" s="34">
        <f>'Input data'!Q30-$C$47*((Q12-P12))</f>
        <v>1.6013869999999999</v>
      </c>
      <c r="R52" s="34">
        <f>'Input data'!R30-$C$47*((R12-Q12))</f>
        <v>1.6658569999999999</v>
      </c>
      <c r="S52" s="34">
        <f>'Input data'!S30-$C$47*((S12-R12))</f>
        <v>1.7527699999999999</v>
      </c>
      <c r="T52" s="34">
        <f>'Input data'!T30-$C$47*((T12-S12))</f>
        <v>1.806942</v>
      </c>
      <c r="U52" s="34">
        <f>'Input data'!U30-$C$47*((U12-T12))</f>
        <v>1.8724879999999999</v>
      </c>
      <c r="V52" s="34">
        <f>'Input data'!V30-$C$47*((V12-U12))</f>
        <v>1.942307</v>
      </c>
      <c r="W52" s="34">
        <f>'Input data'!W30-$C$47*((W12-V12))</f>
        <v>1.9095040000000001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99.250230000000002</v>
      </c>
      <c r="D57" s="45">
        <f>+C57+D58</f>
        <v>85.595287844886869</v>
      </c>
      <c r="E57" s="45">
        <f>+D57+E58</f>
        <v>77.284440321959977</v>
      </c>
      <c r="F57" s="45">
        <f>+E57+F58</f>
        <v>70.579945075187567</v>
      </c>
      <c r="G57" s="45">
        <f>+F57+G58</f>
        <v>65.467738950078513</v>
      </c>
      <c r="H57" s="45">
        <f t="shared" ref="H57:S57" si="13">+G57+H58</f>
        <v>59.99104804318636</v>
      </c>
      <c r="I57" s="45">
        <f t="shared" si="13"/>
        <v>55.344336413083951</v>
      </c>
      <c r="J57" s="45">
        <f t="shared" si="13"/>
        <v>50.929639670376446</v>
      </c>
      <c r="K57" s="45">
        <f t="shared" si="13"/>
        <v>46.496687645996076</v>
      </c>
      <c r="L57" s="45">
        <f t="shared" si="13"/>
        <v>42.459373869564104</v>
      </c>
      <c r="M57" s="45">
        <f t="shared" si="13"/>
        <v>38.775312732290459</v>
      </c>
      <c r="N57" s="45">
        <f t="shared" si="13"/>
        <v>35.374126048899583</v>
      </c>
      <c r="O57" s="45">
        <f t="shared" si="13"/>
        <v>32.262514939085726</v>
      </c>
      <c r="P57" s="45">
        <f t="shared" si="13"/>
        <v>29.340409626930644</v>
      </c>
      <c r="Q57" s="45">
        <f t="shared" si="13"/>
        <v>26.665659419907438</v>
      </c>
      <c r="R57" s="45">
        <f t="shared" si="13"/>
        <v>24.168336235214845</v>
      </c>
      <c r="S57" s="45">
        <f t="shared" si="13"/>
        <v>21.808684985207481</v>
      </c>
      <c r="T57" s="45">
        <f>+S57+T58</f>
        <v>19.585857825183719</v>
      </c>
      <c r="U57" s="45">
        <f>+T57+U58</f>
        <v>17.188179668616975</v>
      </c>
      <c r="V57" s="45">
        <f t="shared" ref="V57" si="14">+U57+V58</f>
        <v>15.006288509813093</v>
      </c>
      <c r="W57" s="45">
        <f t="shared" ref="W57" si="15">+V57+W58</f>
        <v>12.883662123244548</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-13.654942155113131</v>
      </c>
      <c r="E58" s="47">
        <f>-E59+E67+E72</f>
        <v>-8.3108475229268901</v>
      </c>
      <c r="F58" s="47">
        <f>-F59+F67+F72</f>
        <v>-6.7044952467724084</v>
      </c>
      <c r="G58" s="47">
        <f>-G59+G67+G72</f>
        <v>-5.1122061251090507</v>
      </c>
      <c r="H58" s="47">
        <f t="shared" ref="H58:S58" si="16">-H59+H67+H72</f>
        <v>-5.4766909068921494</v>
      </c>
      <c r="I58" s="47">
        <f t="shared" si="16"/>
        <v>-4.6467116301024092</v>
      </c>
      <c r="J58" s="47">
        <f t="shared" si="16"/>
        <v>-4.4146967427075072</v>
      </c>
      <c r="K58" s="47">
        <f t="shared" si="16"/>
        <v>-4.4329520243803682</v>
      </c>
      <c r="L58" s="47">
        <f t="shared" si="16"/>
        <v>-4.0373137764319749</v>
      </c>
      <c r="M58" s="47">
        <f t="shared" si="16"/>
        <v>-3.6840611372736465</v>
      </c>
      <c r="N58" s="47">
        <f t="shared" si="16"/>
        <v>-3.401186683390879</v>
      </c>
      <c r="O58" s="47">
        <f t="shared" si="16"/>
        <v>-3.1116111098138606</v>
      </c>
      <c r="P58" s="47">
        <f t="shared" si="16"/>
        <v>-2.9221053121550811</v>
      </c>
      <c r="Q58" s="47">
        <f t="shared" si="16"/>
        <v>-2.6747502070232061</v>
      </c>
      <c r="R58" s="47">
        <f t="shared" si="16"/>
        <v>-2.4973231846925952</v>
      </c>
      <c r="S58" s="47">
        <f t="shared" si="16"/>
        <v>-2.3596512500073628</v>
      </c>
      <c r="T58" s="47">
        <f>-T59+T67+T72</f>
        <v>-2.2228271600237628</v>
      </c>
      <c r="U58" s="47">
        <f t="shared" ref="U58:W58" si="17">-U59+U67+U72</f>
        <v>-2.3976781565667444</v>
      </c>
      <c r="V58" s="47">
        <f t="shared" si="17"/>
        <v>-2.1818911588038814</v>
      </c>
      <c r="W58" s="47">
        <f t="shared" si="17"/>
        <v>-2.1226263865685451</v>
      </c>
    </row>
    <row r="59" spans="2:48" outlineLevel="1" x14ac:dyDescent="0.2">
      <c r="B59" s="84" t="s">
        <v>106</v>
      </c>
      <c r="C59" s="48"/>
      <c r="D59" s="48">
        <f>D60+D61-D62-D63-D64-D65-D66</f>
        <v>4.1969893551131312</v>
      </c>
      <c r="E59" s="48">
        <f t="shared" ref="E59:R59" si="18">E60+E61-E62-E63-E64-E65-E66</f>
        <v>4.5240515229268894</v>
      </c>
      <c r="F59" s="48">
        <f t="shared" si="18"/>
        <v>4.2972697467724092</v>
      </c>
      <c r="G59" s="48">
        <f t="shared" si="18"/>
        <v>4.0366541251090524</v>
      </c>
      <c r="H59" s="48">
        <f t="shared" si="18"/>
        <v>3.8519046672059583</v>
      </c>
      <c r="I59" s="48">
        <f t="shared" si="18"/>
        <v>3.6055675238428302</v>
      </c>
      <c r="J59" s="48">
        <f t="shared" si="18"/>
        <v>3.4823997525488415</v>
      </c>
      <c r="K59" s="48">
        <f t="shared" si="18"/>
        <v>3.5969620525488351</v>
      </c>
      <c r="L59" s="48">
        <f t="shared" si="18"/>
        <v>3.3534353448984429</v>
      </c>
      <c r="M59" s="48">
        <f t="shared" si="18"/>
        <v>3.109367744898444</v>
      </c>
      <c r="N59" s="48">
        <f t="shared" si="18"/>
        <v>2.9124590517918709</v>
      </c>
      <c r="O59" s="48">
        <f t="shared" si="18"/>
        <v>2.6761823451648521</v>
      </c>
      <c r="P59" s="48">
        <f t="shared" si="18"/>
        <v>2.5195536524225828</v>
      </c>
      <c r="Q59" s="48">
        <f t="shared" si="18"/>
        <v>2.3027144642541306</v>
      </c>
      <c r="R59" s="48">
        <f t="shared" si="18"/>
        <v>2.1537052770294149</v>
      </c>
      <c r="S59" s="48">
        <f>S60+S61-S62-S63-S64-S65-S66</f>
        <v>2.0372761910750574</v>
      </c>
      <c r="T59" s="48">
        <f>T60+T61-T62-T63-T64-T65-T66</f>
        <v>1.9285189861296335</v>
      </c>
      <c r="U59" s="48">
        <f>U60+U61-U62-U63-U64-U65-U66</f>
        <v>2.126743265073848</v>
      </c>
      <c r="V59" s="48">
        <f t="shared" ref="V59:W59" si="19">V60+V61-V62-V63-V64-V65-V66</f>
        <v>1.9370655650738433</v>
      </c>
      <c r="W59" s="48">
        <f t="shared" si="19"/>
        <v>1.9176173705175044</v>
      </c>
    </row>
    <row r="60" spans="2:48" outlineLevel="1" x14ac:dyDescent="0.2">
      <c r="B60" s="79" t="s">
        <v>107</v>
      </c>
      <c r="C60" s="1"/>
      <c r="D60" s="1">
        <f>D12</f>
        <v>2.087558</v>
      </c>
      <c r="E60" s="1">
        <f>E12</f>
        <v>3.2270470000000002</v>
      </c>
      <c r="F60" s="1">
        <f>F12</f>
        <v>3.482405</v>
      </c>
      <c r="G60" s="1">
        <f t="shared" ref="G60:W60" si="20">IF(G12="",F60,G12)</f>
        <v>3.482405</v>
      </c>
      <c r="H60" s="1">
        <f t="shared" si="20"/>
        <v>3.482405</v>
      </c>
      <c r="I60" s="1">
        <f t="shared" si="20"/>
        <v>3.482405</v>
      </c>
      <c r="J60" s="1">
        <f t="shared" si="20"/>
        <v>3.482405</v>
      </c>
      <c r="K60" s="1">
        <f t="shared" si="20"/>
        <v>3.482405</v>
      </c>
      <c r="L60" s="1">
        <f t="shared" si="20"/>
        <v>3.482405</v>
      </c>
      <c r="M60" s="1">
        <f t="shared" si="20"/>
        <v>3.482405</v>
      </c>
      <c r="N60" s="1">
        <f t="shared" si="20"/>
        <v>3.482405</v>
      </c>
      <c r="O60" s="1">
        <f t="shared" si="20"/>
        <v>3.482405</v>
      </c>
      <c r="P60" s="1">
        <f t="shared" si="20"/>
        <v>3.482405</v>
      </c>
      <c r="Q60" s="1">
        <f t="shared" si="20"/>
        <v>3.482405</v>
      </c>
      <c r="R60" s="1">
        <f t="shared" si="20"/>
        <v>3.482405</v>
      </c>
      <c r="S60" s="1">
        <f t="shared" si="20"/>
        <v>3.482405</v>
      </c>
      <c r="T60" s="1">
        <f t="shared" si="20"/>
        <v>3.482405</v>
      </c>
      <c r="U60" s="1">
        <f t="shared" si="20"/>
        <v>3.482405</v>
      </c>
      <c r="V60" s="1">
        <f t="shared" si="20"/>
        <v>3.482405</v>
      </c>
      <c r="W60" s="1">
        <f t="shared" si="20"/>
        <v>3.482405</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21">-$C$48*D30</f>
        <v>-2.1094313551131312</v>
      </c>
      <c r="E62" s="1">
        <f t="shared" si="21"/>
        <v>-1.2970045229268887</v>
      </c>
      <c r="F62" s="1">
        <f t="shared" si="21"/>
        <v>-0.81486474677240894</v>
      </c>
      <c r="G62" s="1">
        <f t="shared" si="21"/>
        <v>-0.55424912510905266</v>
      </c>
      <c r="H62" s="1">
        <f t="shared" si="21"/>
        <v>-0.36949966720595828</v>
      </c>
      <c r="I62" s="1">
        <f t="shared" si="21"/>
        <v>-0.12316252384283022</v>
      </c>
      <c r="J62" s="1">
        <f t="shared" si="21"/>
        <v>5.2474511583966429E-6</v>
      </c>
      <c r="K62" s="1">
        <f t="shared" si="21"/>
        <v>5.2474511639921671E-6</v>
      </c>
      <c r="L62" s="1">
        <f t="shared" si="21"/>
        <v>4.2551015543068619E-6</v>
      </c>
      <c r="M62" s="1">
        <f>-$C$48*M30</f>
        <v>4.2551015543068619E-6</v>
      </c>
      <c r="N62" s="1">
        <f t="shared" si="21"/>
        <v>5.2482081264848544E-6</v>
      </c>
      <c r="O62" s="1">
        <f t="shared" si="21"/>
        <v>4.2548351458115976E-6</v>
      </c>
      <c r="P62" s="1">
        <f t="shared" si="21"/>
        <v>5.2475774102056507E-6</v>
      </c>
      <c r="Q62" s="1">
        <f t="shared" si="21"/>
        <v>6.7357458626737811E-6</v>
      </c>
      <c r="R62" s="1">
        <f t="shared" si="21"/>
        <v>8.2229705796521561E-6</v>
      </c>
      <c r="S62" s="1">
        <f t="shared" si="21"/>
        <v>9.7089249336157473E-6</v>
      </c>
      <c r="T62" s="1">
        <f t="shared" si="21"/>
        <v>9.2138703666755362E-6</v>
      </c>
      <c r="U62" s="1">
        <f>-$C$48*U30</f>
        <v>7.234926149379817E-6</v>
      </c>
      <c r="V62" s="1">
        <f t="shared" si="21"/>
        <v>7.234926149379817E-6</v>
      </c>
      <c r="W62" s="1">
        <f t="shared" si="21"/>
        <v>7.7294824908591405E-6</v>
      </c>
    </row>
    <row r="63" spans="2:48" outlineLevel="1" x14ac:dyDescent="0.2">
      <c r="B63" s="79" t="s">
        <v>110</v>
      </c>
      <c r="C63" s="1"/>
      <c r="D63" s="1">
        <f t="shared" ref="D63:W63" si="22">-D14</f>
        <v>0</v>
      </c>
      <c r="E63" s="1">
        <f t="shared" si="22"/>
        <v>0</v>
      </c>
      <c r="F63" s="1">
        <f t="shared" si="22"/>
        <v>0</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-0.12070999999999898</v>
      </c>
      <c r="L64" s="1">
        <f>IF(L$56&lt;=$C$6,0,HLOOKUP(L$56,'Input data'!$C$9:$BB$26,12,FALSE)-HLOOKUP($C$6,'Input data'!$C$9:$BB$26,12,FALSE))</f>
        <v>0.11667000000000272</v>
      </c>
      <c r="M64" s="1">
        <f>IF(M$56&lt;=$C$6,0,HLOOKUP(M$56,'Input data'!$C$9:$BB$26,12,FALSE)-HLOOKUP($C$6,'Input data'!$C$9:$BB$26,12,FALSE))</f>
        <v>0.35459000000000174</v>
      </c>
      <c r="N64" s="1">
        <f>IF(N$56&lt;=$C$6,0,HLOOKUP(N$56,'Input data'!$C$9:$BB$26,12,FALSE)-HLOOKUP($C$6,'Input data'!$C$9:$BB$26,12,FALSE))</f>
        <v>0.54535000000000267</v>
      </c>
      <c r="O64" s="1">
        <f>IF(O$56&lt;=$C$6,0,HLOOKUP(O$56,'Input data'!$C$9:$BB$26,12,FALSE)-HLOOKUP($C$6,'Input data'!$C$9:$BB$26,12,FALSE))</f>
        <v>0.77548000000000172</v>
      </c>
      <c r="P64" s="1">
        <f>IF(P$56&lt;=$C$6,0,HLOOKUP(P$56,'Input data'!$C$9:$BB$26,12,FALSE)-HLOOKUP($C$6,'Input data'!$C$9:$BB$26,12,FALSE))</f>
        <v>0.925960000000007</v>
      </c>
      <c r="Q64" s="1">
        <f>IF(Q$56&lt;=$C$6,0,HLOOKUP(Q$56,'Input data'!$C$9:$BB$26,12,FALSE)-HLOOKUP($C$6,'Input data'!$C$9:$BB$26,12,FALSE))</f>
        <v>1.1366500000000066</v>
      </c>
      <c r="R64" s="1">
        <f>IF(R$56&lt;=$C$6,0,HLOOKUP(R$56,'Input data'!$C$9:$BB$26,12,FALSE)-HLOOKUP($C$6,'Input data'!$C$9:$BB$26,12,FALSE))</f>
        <v>1.2795100000000055</v>
      </c>
      <c r="S64" s="1">
        <f>IF(S$56&lt;=$C$6,0,HLOOKUP(S$56,'Input data'!$C$9:$BB$26,12,FALSE)-HLOOKUP($C$6,'Input data'!$C$9:$BB$26,12,FALSE))</f>
        <v>1.3897900000000085</v>
      </c>
      <c r="T64" s="1">
        <f>IF(T$56&lt;=$C$6,0,HLOOKUP(T$56,'Input data'!$C$9:$BB$26,12,FALSE)-HLOOKUP($C$6,'Input data'!$C$9:$BB$26,12,FALSE))</f>
        <v>1.4923999999999999</v>
      </c>
      <c r="U64" s="1">
        <f>IF(U$56&lt;=$C$6,0,HLOOKUP(U$56,'Input data'!$C$9:$BB$26,12,FALSE)-HLOOKUP($C$6,'Input data'!$C$9:$BB$26,12,FALSE))</f>
        <v>1.2880300000000027</v>
      </c>
      <c r="V64" s="1">
        <f>IF(V$56&lt;=$C$6,0,HLOOKUP(V$56,'Input data'!$C$9:$BB$26,12,FALSE)-HLOOKUP($C$6,'Input data'!$C$9:$BB$26,12,FALSE))</f>
        <v>1.4715600000000073</v>
      </c>
      <c r="W64" s="1">
        <f>IF(W$56&lt;=$C$6,0,HLOOKUP(W$56,'Input data'!$C$9:$BB$26,12,FALSE)-HLOOKUP($C$6,'Input data'!$C$9:$BB$26,12,FALSE))</f>
        <v>1.4848600000000047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6.1476999999999782E-3</v>
      </c>
      <c r="L65" s="1">
        <f>IF(L$56&lt;=$C$6,0,-HLOOKUP(L$56,'Input data'!$C$9:$BB$26,18,FALSE)+HLOOKUP($C$6,'Input data'!$C$9:$BB$26,18,FALSE))</f>
        <v>1.2295400000000012E-2</v>
      </c>
      <c r="M65" s="1">
        <f>IF(M$56&lt;=$C$6,0,-HLOOKUP(M$56,'Input data'!$C$9:$BB$26,18,FALSE)+HLOOKUP($C$6,'Input data'!$C$9:$BB$26,18,FALSE))</f>
        <v>1.8442999999999987E-2</v>
      </c>
      <c r="N65" s="1">
        <f>IF(N$56&lt;=$C$6,0,-HLOOKUP(N$56,'Input data'!$C$9:$BB$26,18,FALSE)+HLOOKUP($C$6,'Input data'!$C$9:$BB$26,18,FALSE))</f>
        <v>2.4590700000000021E-2</v>
      </c>
      <c r="O65" s="1">
        <f>IF(O$56&lt;=$C$6,0,-HLOOKUP(O$56,'Input data'!$C$9:$BB$26,18,FALSE)+HLOOKUP($C$6,'Input data'!$C$9:$BB$26,18,FALSE))</f>
        <v>3.0738399999999999E-2</v>
      </c>
      <c r="P65" s="1">
        <f>IF(P$56&lt;=$C$6,0,-HLOOKUP(P$56,'Input data'!$C$9:$BB$26,18,FALSE)+HLOOKUP($C$6,'Input data'!$C$9:$BB$26,18,FALSE))</f>
        <v>3.6886100000000033E-2</v>
      </c>
      <c r="Q65" s="1">
        <f>IF(Q$56&lt;=$C$6,0,-HLOOKUP(Q$56,'Input data'!$C$9:$BB$26,18,FALSE)+HLOOKUP($C$6,'Input data'!$C$9:$BB$26,18,FALSE))</f>
        <v>4.3033800000000011E-2</v>
      </c>
      <c r="R65" s="1">
        <f>IF(R$56&lt;=$C$6,0,-HLOOKUP(R$56,'Input data'!$C$9:$BB$26,18,FALSE)+HLOOKUP($C$6,'Input data'!$C$9:$BB$26,18,FALSE))</f>
        <v>4.9181499999999989E-2</v>
      </c>
      <c r="S65" s="1">
        <f>IF(S$56&lt;=$C$6,0,-HLOOKUP(S$56,'Input data'!$C$9:$BB$26,18,FALSE)+HLOOKUP($C$6,'Input data'!$C$9:$BB$26,18,FALSE))</f>
        <v>5.532910000000002E-2</v>
      </c>
      <c r="T65" s="1">
        <f>IF(T$56&lt;=$C$6,0,-HLOOKUP(T$56,'Input data'!$C$9:$BB$26,18,FALSE)+HLOOKUP($C$6,'Input data'!$C$9:$BB$26,18,FALSE))</f>
        <v>6.1476799999999998E-2</v>
      </c>
      <c r="U65" s="264">
        <f>IF(U$56&lt;=$C$6,0,-HLOOKUP(U$56,'Input data'!$C$9:$BB$26,18,FALSE)+HLOOKUP($C$6,'Input data'!$C$9:$BB$26,18,FALSE))</f>
        <v>6.7624500000000032E-2</v>
      </c>
      <c r="V65" s="264">
        <f>IF(V$56&lt;=$C$6,0,-HLOOKUP(V$56,'Input data'!$C$9:$BB$26,18,FALSE)+HLOOKUP($C$6,'Input data'!$C$9:$BB$26,18,FALSE))</f>
        <v>7.377220000000001E-2</v>
      </c>
      <c r="W65" s="264">
        <f>IF(W$56&lt;=$C$6,0,-HLOOKUP(W$56,'Input data'!$C$9:$BB$26,18,FALSE)+HLOOKUP($C$6,'Input data'!$C$9:$BB$26,18,FALSE))</f>
        <v>7.9919899999999988E-2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23">SUM(D68:D71)</f>
        <v>-8.7130919999999996</v>
      </c>
      <c r="E67" s="48">
        <f t="shared" si="23"/>
        <v>-4.3880540000000003</v>
      </c>
      <c r="F67" s="48">
        <f t="shared" si="23"/>
        <v>-3.398539</v>
      </c>
      <c r="G67" s="48">
        <f t="shared" si="23"/>
        <v>-2.376224999999998</v>
      </c>
      <c r="H67" s="48">
        <f t="shared" si="23"/>
        <v>-1.624786239686191</v>
      </c>
      <c r="I67" s="48">
        <f t="shared" si="23"/>
        <v>-1.0411441062595792</v>
      </c>
      <c r="J67" s="48">
        <f t="shared" si="23"/>
        <v>-0.93229699015866596</v>
      </c>
      <c r="K67" s="48">
        <f t="shared" si="23"/>
        <v>-0.83598997183153267</v>
      </c>
      <c r="L67" s="48">
        <f t="shared" si="23"/>
        <v>-0.68387843153353178</v>
      </c>
      <c r="M67" s="48">
        <f t="shared" si="23"/>
        <v>-0.57469339237520234</v>
      </c>
      <c r="N67" s="48">
        <f t="shared" si="23"/>
        <v>-0.48872763159900834</v>
      </c>
      <c r="O67" s="48">
        <f t="shared" si="23"/>
        <v>-0.43542876464900848</v>
      </c>
      <c r="P67" s="48">
        <f t="shared" ref="P67:T67" si="24">SUM(P68:P71)</f>
        <v>-0.40255165973249835</v>
      </c>
      <c r="Q67" s="48">
        <f t="shared" si="24"/>
        <v>-0.37203574276907525</v>
      </c>
      <c r="R67" s="48">
        <f t="shared" si="24"/>
        <v>-0.34361790766318046</v>
      </c>
      <c r="S67" s="48">
        <f t="shared" si="24"/>
        <v>-0.32237505893230517</v>
      </c>
      <c r="T67" s="48">
        <f t="shared" si="24"/>
        <v>-0.29430817389412955</v>
      </c>
      <c r="U67" s="48">
        <f t="shared" ref="U67:W67" si="25">SUM(U68:U71)</f>
        <v>-0.27093489149289657</v>
      </c>
      <c r="V67" s="48">
        <f t="shared" si="25"/>
        <v>-0.24482559373003815</v>
      </c>
      <c r="W67" s="48">
        <f t="shared" si="25"/>
        <v>-0.20500901605104072</v>
      </c>
    </row>
    <row r="68" spans="2:23" outlineLevel="1" x14ac:dyDescent="0.2">
      <c r="B68" s="79" t="s">
        <v>115</v>
      </c>
      <c r="C68" s="34"/>
      <c r="D68" s="34">
        <f t="shared" ref="D68:E68" si="26">C57*D36/100*(1/(1+D33/100))</f>
        <v>1.4681210303537406</v>
      </c>
      <c r="E68" s="34">
        <f t="shared" si="26"/>
        <v>1.4419332710000843</v>
      </c>
      <c r="F68" s="34">
        <f>E57*F36/100*(1/(1+F33/100))</f>
        <v>1.3831494751458222</v>
      </c>
      <c r="G68" s="34">
        <f>F57*G36/100*(1/(1+G33/100))</f>
        <v>1.2767786110391002</v>
      </c>
      <c r="H68" s="34">
        <f t="shared" ref="H68:W68" si="27">G57*H36/100*(1/(1+H33/100))</f>
        <v>1.2831379643233658</v>
      </c>
      <c r="I68" s="34">
        <f t="shared" si="27"/>
        <v>1.2649332113743252</v>
      </c>
      <c r="J68" s="34">
        <f>I57*J36/100*(1/(1+J33/100))</f>
        <v>1.2365500441397026</v>
      </c>
      <c r="K68" s="34">
        <f t="shared" si="27"/>
        <v>1.2011368913869918</v>
      </c>
      <c r="L68" s="34">
        <f>K57*L36/100*(1/(1+L33/100))</f>
        <v>1.1477033815748543</v>
      </c>
      <c r="M68" s="34">
        <f t="shared" si="27"/>
        <v>1.0856651882778106</v>
      </c>
      <c r="N68" s="34">
        <f t="shared" si="27"/>
        <v>1.0261782020781569</v>
      </c>
      <c r="O68" s="34">
        <f t="shared" si="27"/>
        <v>0.94472596132227915</v>
      </c>
      <c r="P68" s="34">
        <f t="shared" si="27"/>
        <v>0.86757401490002517</v>
      </c>
      <c r="Q68" s="34">
        <f t="shared" si="27"/>
        <v>0.793378321096048</v>
      </c>
      <c r="R68" s="34">
        <f t="shared" si="27"/>
        <v>0.72492403981568965</v>
      </c>
      <c r="S68" s="34">
        <f t="shared" si="27"/>
        <v>0.65968824627445688</v>
      </c>
      <c r="T68" s="34">
        <f t="shared" si="27"/>
        <v>0.59739017758953605</v>
      </c>
      <c r="U68" s="34">
        <f t="shared" si="27"/>
        <v>0.5369222704313622</v>
      </c>
      <c r="V68" s="34">
        <f t="shared" si="27"/>
        <v>0.47099665750184189</v>
      </c>
      <c r="W68" s="34">
        <f t="shared" si="27"/>
        <v>0.41145059812243812</v>
      </c>
    </row>
    <row r="69" spans="2:23" outlineLevel="1" x14ac:dyDescent="0.2">
      <c r="B69" s="79" t="s">
        <v>116</v>
      </c>
      <c r="C69" s="34"/>
      <c r="D69" s="34">
        <f t="shared" ref="D69:W69" si="28">-C57*(D24/100)*(1/(1+D33/100))</f>
        <v>-4.5050520510522478</v>
      </c>
      <c r="E69" s="34">
        <f t="shared" si="28"/>
        <v>-1.9632130629281277</v>
      </c>
      <c r="F69" s="34">
        <f t="shared" si="28"/>
        <v>-2.0145737556775938</v>
      </c>
      <c r="G69" s="34">
        <f t="shared" si="28"/>
        <v>-2.0155355707128693</v>
      </c>
      <c r="H69" s="34">
        <f t="shared" si="28"/>
        <v>-1.3754069303052536</v>
      </c>
      <c r="I69" s="34">
        <f t="shared" si="28"/>
        <v>-0.88925824116184615</v>
      </c>
      <c r="J69" s="34">
        <f t="shared" si="28"/>
        <v>-0.85023938407910604</v>
      </c>
      <c r="K69" s="34">
        <f t="shared" si="28"/>
        <v>-0.81309520003636093</v>
      </c>
      <c r="L69" s="34">
        <f t="shared" si="28"/>
        <v>-0.70441159748623838</v>
      </c>
      <c r="M69" s="34">
        <f t="shared" si="28"/>
        <v>-0.62222578217117908</v>
      </c>
      <c r="N69" s="34">
        <f t="shared" si="28"/>
        <v>-0.55878351674049986</v>
      </c>
      <c r="O69" s="34">
        <f t="shared" si="28"/>
        <v>-0.5005445706841698</v>
      </c>
      <c r="P69" s="34">
        <f t="shared" si="28"/>
        <v>-0.47632729931155754</v>
      </c>
      <c r="Q69" s="34">
        <f t="shared" si="28"/>
        <v>-0.45119071619751072</v>
      </c>
      <c r="R69" s="34">
        <f t="shared" si="28"/>
        <v>-0.42641137321267253</v>
      </c>
      <c r="S69" s="34">
        <f t="shared" si="28"/>
        <v>-0.4064020360353035</v>
      </c>
      <c r="T69" s="34">
        <f t="shared" si="28"/>
        <v>-0.37795781661914185</v>
      </c>
      <c r="U69" s="34">
        <f t="shared" si="28"/>
        <v>-0.35161580905945272</v>
      </c>
      <c r="V69" s="34">
        <f t="shared" si="28"/>
        <v>-0.31994375118288976</v>
      </c>
      <c r="W69" s="34">
        <f t="shared" si="28"/>
        <v>-0.27477435835539515</v>
      </c>
    </row>
    <row r="70" spans="2:23" outlineLevel="1" x14ac:dyDescent="0.2">
      <c r="B70" s="79" t="s">
        <v>117</v>
      </c>
      <c r="C70" s="34"/>
      <c r="D70" s="34">
        <f t="shared" ref="D70:W70" si="29">-C57*D42/100*(1/(1+D42/100))</f>
        <v>-5.6761618041690971</v>
      </c>
      <c r="E70" s="34">
        <f t="shared" si="29"/>
        <v>-3.8667753439880266</v>
      </c>
      <c r="F70" s="34">
        <f t="shared" si="29"/>
        <v>-2.7671158929224595</v>
      </c>
      <c r="G70" s="34">
        <f t="shared" si="29"/>
        <v>-1.6374699620313513</v>
      </c>
      <c r="H70" s="34">
        <f t="shared" si="29"/>
        <v>-1.5325172737043031</v>
      </c>
      <c r="I70" s="34">
        <f t="shared" si="29"/>
        <v>-1.4168190764720583</v>
      </c>
      <c r="J70" s="34">
        <f t="shared" si="29"/>
        <v>-1.3186076502192625</v>
      </c>
      <c r="K70" s="34">
        <f t="shared" si="29"/>
        <v>-1.2240316631821635</v>
      </c>
      <c r="L70" s="34">
        <f t="shared" si="29"/>
        <v>-1.1271702156221477</v>
      </c>
      <c r="M70" s="34">
        <f t="shared" si="29"/>
        <v>-1.0381327984818338</v>
      </c>
      <c r="N70" s="34">
        <f t="shared" si="29"/>
        <v>-0.95612231693666538</v>
      </c>
      <c r="O70" s="34">
        <f t="shared" si="29"/>
        <v>-0.87961015528711783</v>
      </c>
      <c r="P70" s="34">
        <f t="shared" si="29"/>
        <v>-0.79379837532096598</v>
      </c>
      <c r="Q70" s="34">
        <f t="shared" si="29"/>
        <v>-0.71422334766761253</v>
      </c>
      <c r="R70" s="34">
        <f t="shared" si="29"/>
        <v>-0.64213057426619757</v>
      </c>
      <c r="S70" s="34">
        <f t="shared" si="29"/>
        <v>-0.57566126917145855</v>
      </c>
      <c r="T70" s="34">
        <f t="shared" si="29"/>
        <v>-0.51374053486452376</v>
      </c>
      <c r="U70" s="34">
        <f t="shared" si="29"/>
        <v>-0.45624135286480605</v>
      </c>
      <c r="V70" s="34">
        <f t="shared" si="29"/>
        <v>-0.39587850004899028</v>
      </c>
      <c r="W70" s="34">
        <f t="shared" si="29"/>
        <v>-0.34168525581808368</v>
      </c>
    </row>
    <row r="71" spans="2:23" outlineLevel="1" x14ac:dyDescent="0.2">
      <c r="B71" s="79" t="s">
        <v>118</v>
      </c>
      <c r="C71" s="49"/>
      <c r="D71" s="49">
        <f>'Baseline NFPC'!D70</f>
        <v>8.24867605331292E-7</v>
      </c>
      <c r="E71" s="49">
        <f>'Baseline NFPC'!E70</f>
        <v>1.1359160696500226E-6</v>
      </c>
      <c r="F71" s="49">
        <f>'Baseline NFPC'!F70</f>
        <v>1.1734542311181428E-6</v>
      </c>
      <c r="G71" s="49">
        <f>'Baseline NFPC'!G70</f>
        <v>1.9217051221431802E-6</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-0.74486079999999999</v>
      </c>
      <c r="E72" s="50">
        <f>'Input data'!E16</f>
        <v>0.60125799999999996</v>
      </c>
      <c r="F72" s="50">
        <f>'Input data'!F16</f>
        <v>0.99131349999999996</v>
      </c>
      <c r="G72" s="50">
        <f>'Input data'!G16</f>
        <v>1.300673</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30">D15</f>
        <v>-0.74485959999999996</v>
      </c>
      <c r="E73" s="34">
        <f t="shared" si="30"/>
        <v>0.60125580000000001</v>
      </c>
      <c r="F73" s="34">
        <f t="shared" si="30"/>
        <v>0.99131420000000003</v>
      </c>
      <c r="G73" s="34">
        <f t="shared" si="30"/>
        <v>1.300675</v>
      </c>
      <c r="H73" s="34">
        <f t="shared" si="30"/>
        <v>0</v>
      </c>
      <c r="I73" s="34">
        <f t="shared" si="30"/>
        <v>0</v>
      </c>
      <c r="J73" s="34">
        <f t="shared" si="30"/>
        <v>0</v>
      </c>
      <c r="K73" s="34">
        <f t="shared" si="30"/>
        <v>0</v>
      </c>
      <c r="L73" s="34">
        <f t="shared" si="30"/>
        <v>0</v>
      </c>
      <c r="M73" s="34">
        <f t="shared" si="30"/>
        <v>0</v>
      </c>
      <c r="N73" s="34">
        <f t="shared" si="30"/>
        <v>0</v>
      </c>
      <c r="O73" s="34">
        <f t="shared" si="30"/>
        <v>0</v>
      </c>
      <c r="P73" s="34">
        <f t="shared" si="30"/>
        <v>0</v>
      </c>
      <c r="Q73" s="34">
        <f t="shared" si="30"/>
        <v>0</v>
      </c>
      <c r="R73" s="34">
        <f t="shared" si="30"/>
        <v>0</v>
      </c>
      <c r="S73" s="34">
        <f t="shared" si="30"/>
        <v>0</v>
      </c>
      <c r="T73" s="34">
        <f t="shared" si="30"/>
        <v>0</v>
      </c>
      <c r="U73" s="34">
        <f t="shared" si="30"/>
        <v>0</v>
      </c>
      <c r="V73" s="34">
        <f t="shared" si="30"/>
        <v>0</v>
      </c>
      <c r="W73" s="34">
        <f t="shared" si="30"/>
        <v>0</v>
      </c>
    </row>
    <row r="74" spans="2:23" outlineLevel="1" x14ac:dyDescent="0.2">
      <c r="B74" s="89" t="s">
        <v>121</v>
      </c>
      <c r="C74" s="49"/>
      <c r="D74" s="49">
        <f>+D72-D73</f>
        <v>-1.2000000000345068E-6</v>
      </c>
      <c r="E74" s="49">
        <f t="shared" ref="E74:T74" si="31">+E72-E73</f>
        <v>2.1999999999522402E-6</v>
      </c>
      <c r="F74" s="49">
        <f t="shared" si="31"/>
        <v>-7.0000000007564012E-7</v>
      </c>
      <c r="G74" s="49">
        <f t="shared" si="31"/>
        <v>-2.0000000000575113E-6</v>
      </c>
      <c r="H74" s="49">
        <f t="shared" si="31"/>
        <v>0</v>
      </c>
      <c r="I74" s="49">
        <f t="shared" si="31"/>
        <v>0</v>
      </c>
      <c r="J74" s="49">
        <f t="shared" si="31"/>
        <v>0</v>
      </c>
      <c r="K74" s="49">
        <f t="shared" si="31"/>
        <v>0</v>
      </c>
      <c r="L74" s="49">
        <f t="shared" si="31"/>
        <v>0</v>
      </c>
      <c r="M74" s="49">
        <f t="shared" si="31"/>
        <v>0</v>
      </c>
      <c r="N74" s="49">
        <f t="shared" si="31"/>
        <v>0</v>
      </c>
      <c r="O74" s="49">
        <f t="shared" si="31"/>
        <v>0</v>
      </c>
      <c r="P74" s="49">
        <f t="shared" si="31"/>
        <v>0</v>
      </c>
      <c r="Q74" s="49">
        <f t="shared" si="31"/>
        <v>0</v>
      </c>
      <c r="R74" s="49">
        <f t="shared" si="31"/>
        <v>0</v>
      </c>
      <c r="S74" s="49">
        <f t="shared" si="31"/>
        <v>0</v>
      </c>
      <c r="T74" s="49">
        <f t="shared" si="31"/>
        <v>0</v>
      </c>
      <c r="U74" s="49">
        <f t="shared" ref="U74:W74" si="32">+U72-U73</f>
        <v>0</v>
      </c>
      <c r="V74" s="49">
        <f t="shared" si="32"/>
        <v>0</v>
      </c>
      <c r="W74" s="49">
        <f t="shared" si="32"/>
        <v>0</v>
      </c>
    </row>
    <row r="75" spans="2:23" ht="10.5" customHeight="1" outlineLevel="1" x14ac:dyDescent="0.2"/>
    <row r="76" spans="2:23" ht="10.5" customHeight="1" outlineLevel="1" x14ac:dyDescent="0.2">
      <c r="B76" s="91" t="s">
        <v>122</v>
      </c>
    </row>
    <row r="77" spans="2:23" x14ac:dyDescent="0.2">
      <c r="B77" s="77" t="s">
        <v>41</v>
      </c>
      <c r="C77" s="77"/>
      <c r="D77" s="78">
        <f>D59-D68</f>
        <v>2.7288683247593903</v>
      </c>
      <c r="E77" s="78">
        <f t="shared" ref="E77:T77" si="33">E59-E68</f>
        <v>3.0821182519268051</v>
      </c>
      <c r="F77" s="78">
        <f t="shared" si="33"/>
        <v>2.914120271626587</v>
      </c>
      <c r="G77" s="78">
        <f>G59-G68</f>
        <v>2.759875514069952</v>
      </c>
      <c r="H77" s="78">
        <f t="shared" si="33"/>
        <v>2.5687667028825922</v>
      </c>
      <c r="I77" s="78">
        <f t="shared" si="33"/>
        <v>2.340634312468505</v>
      </c>
      <c r="J77" s="78">
        <f t="shared" si="33"/>
        <v>2.2458497084091391</v>
      </c>
      <c r="K77" s="78">
        <f t="shared" si="33"/>
        <v>2.3958251611618433</v>
      </c>
      <c r="L77" s="78">
        <f t="shared" si="33"/>
        <v>2.2057319633235886</v>
      </c>
      <c r="M77" s="78">
        <f t="shared" si="33"/>
        <v>2.0237025566206333</v>
      </c>
      <c r="N77" s="78">
        <f t="shared" si="33"/>
        <v>1.886280849713714</v>
      </c>
      <c r="O77" s="78">
        <f t="shared" si="33"/>
        <v>1.7314563838425729</v>
      </c>
      <c r="P77" s="78">
        <f t="shared" si="33"/>
        <v>1.6519796375225577</v>
      </c>
      <c r="Q77" s="78">
        <f t="shared" si="33"/>
        <v>1.5093361431580825</v>
      </c>
      <c r="R77" s="78">
        <f t="shared" si="33"/>
        <v>1.4287812372137254</v>
      </c>
      <c r="S77" s="78">
        <f t="shared" si="33"/>
        <v>1.3775879448006005</v>
      </c>
      <c r="T77" s="78">
        <f t="shared" si="33"/>
        <v>1.3311288085400974</v>
      </c>
      <c r="U77" s="78">
        <f t="shared" ref="U77:W77" si="34">U59-U68</f>
        <v>1.5898209946424857</v>
      </c>
      <c r="V77" s="78">
        <f t="shared" si="34"/>
        <v>1.4660689075720015</v>
      </c>
      <c r="W77" s="78">
        <f t="shared" si="34"/>
        <v>1.5061667723950662</v>
      </c>
    </row>
    <row r="78" spans="2:23" x14ac:dyDescent="0.2">
      <c r="B78" s="26" t="s">
        <v>42</v>
      </c>
      <c r="D78" s="34">
        <f>D60-D68-D64-D65-D66</f>
        <v>0.61943696964625938</v>
      </c>
      <c r="E78" s="34">
        <f t="shared" ref="E78:W78" si="35">E60-E68-E64-E65-E66</f>
        <v>1.7851137289999159</v>
      </c>
      <c r="F78" s="34">
        <f t="shared" si="35"/>
        <v>2.0992555248541778</v>
      </c>
      <c r="G78" s="34">
        <f t="shared" si="35"/>
        <v>2.2056263889608996</v>
      </c>
      <c r="H78" s="34">
        <f t="shared" si="35"/>
        <v>2.199267035676634</v>
      </c>
      <c r="I78" s="34">
        <f t="shared" si="35"/>
        <v>2.2174717886256747</v>
      </c>
      <c r="J78" s="34">
        <f t="shared" si="35"/>
        <v>2.2458549558602972</v>
      </c>
      <c r="K78" s="34">
        <f t="shared" si="35"/>
        <v>2.3958304086130071</v>
      </c>
      <c r="L78" s="34">
        <f t="shared" si="35"/>
        <v>2.2057362184251428</v>
      </c>
      <c r="M78" s="34">
        <f t="shared" si="35"/>
        <v>2.0237068117221875</v>
      </c>
      <c r="N78" s="34">
        <f t="shared" si="35"/>
        <v>1.8862860979218405</v>
      </c>
      <c r="O78" s="34">
        <f t="shared" si="35"/>
        <v>1.7314606386777192</v>
      </c>
      <c r="P78" s="34">
        <f t="shared" si="35"/>
        <v>1.6519848850999679</v>
      </c>
      <c r="Q78" s="34">
        <f t="shared" si="35"/>
        <v>1.5093428789039454</v>
      </c>
      <c r="R78" s="34">
        <f t="shared" si="35"/>
        <v>1.428789460184305</v>
      </c>
      <c r="S78" s="34">
        <f t="shared" si="35"/>
        <v>1.3775976537255346</v>
      </c>
      <c r="T78" s="34">
        <f t="shared" si="35"/>
        <v>1.3311380224104643</v>
      </c>
      <c r="U78" s="34">
        <f t="shared" si="35"/>
        <v>1.589828229568635</v>
      </c>
      <c r="V78" s="34">
        <f t="shared" si="35"/>
        <v>1.4660761424981508</v>
      </c>
      <c r="W78" s="34">
        <f t="shared" si="35"/>
        <v>1.5061745018775572</v>
      </c>
    </row>
    <row r="79" spans="2:23" x14ac:dyDescent="0.2">
      <c r="B79" s="35" t="s">
        <v>123</v>
      </c>
      <c r="C79" s="35"/>
      <c r="D79" s="285">
        <f>'Input data'!D45</f>
        <v>7.9711163322024241</v>
      </c>
      <c r="E79" s="285">
        <f>'Input data'!E45</f>
        <v>11.892187700351846</v>
      </c>
      <c r="F79" s="285">
        <f>'Input data'!F45</f>
        <v>6.9571484833848753</v>
      </c>
      <c r="G79" s="49">
        <f>'Input data'!G33+G42-(G$12-F$12)/'Input data'!$C$64*100</f>
        <v>5.9135439999999999</v>
      </c>
      <c r="H79" s="49">
        <f>'Input data'!H33+H42-(H$12-G$12)/'Input data'!$C$64*100</f>
        <v>4.9674303750000002</v>
      </c>
      <c r="I79" s="49">
        <f>'Input data'!I33+I42-(I$12-H$12)/'Input data'!$C$64*100</f>
        <v>4.45550975</v>
      </c>
      <c r="J79" s="49">
        <f>'Input data'!J33+J42-(J$12-I$12)/'Input data'!$C$64*100</f>
        <v>4.2879221249999997</v>
      </c>
      <c r="K79" s="49">
        <f>'Input data'!K33+K42-(K$12-J$12)/'Input data'!$C$64*100</f>
        <v>4.1255884999999992</v>
      </c>
      <c r="L79" s="49">
        <f>'Input data'!L33+L42-(L$12-K$12)/'Input data'!$C$64*100</f>
        <v>4.0615158749999996</v>
      </c>
      <c r="M79" s="49">
        <f>'Input data'!M33+M42-(M$12-L$12)/'Input data'!$C$64*100</f>
        <v>4.0313812499999999</v>
      </c>
      <c r="N79" s="49">
        <f>'Input data'!N33+N42-(N$12-M$12)/'Input data'!$C$64*100</f>
        <v>4.0278136250000003</v>
      </c>
      <c r="O79" s="49">
        <f>'Input data'!O33+O42-(O$12-N$12)/'Input data'!$C$64*100</f>
        <v>4.0224489999999999</v>
      </c>
      <c r="P79" s="49">
        <f>'Input data'!P33+P42-(P$12-O$12)/'Input data'!$C$64*100</f>
        <v>4.0594190000000001</v>
      </c>
      <c r="Q79" s="49">
        <f>'Input data'!Q33+Q42-(Q$12-P$12)/'Input data'!$C$64*100</f>
        <v>4.0963899999999995</v>
      </c>
      <c r="R79" s="49">
        <f>'Input data'!R33+R42-(R$12-Q$12)/'Input data'!$C$64*100</f>
        <v>4.1333599999999997</v>
      </c>
      <c r="S79" s="49">
        <f>'Input data'!S33+S42-(S$12-R$12)/'Input data'!$C$64*100</f>
        <v>4.1927729999999999</v>
      </c>
      <c r="T79" s="49">
        <f>'Input data'!T33+T42-(T$12-S$12)/'Input data'!$C$64*100</f>
        <v>4.2194409999999998</v>
      </c>
      <c r="U79" s="49">
        <f>'Input data'!U33+U42-(U$12-T$12)/'Input data'!$C$64*100</f>
        <v>4.2574839999999998</v>
      </c>
      <c r="V79" s="49">
        <f>'Input data'!V33+V42-(V$12-U$12)/'Input data'!$C$64*100</f>
        <v>4.2998069999999995</v>
      </c>
      <c r="W79" s="49">
        <f>'Input data'!W33+W42-(W$12-V$12)/'Input data'!$C$64*100</f>
        <v>4.2395050000000003</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4.9061015625</v>
      </c>
      <c r="E81" s="34"/>
      <c r="F81" s="34"/>
      <c r="G81" s="358"/>
      <c r="H81" s="358"/>
      <c r="I81" s="358"/>
      <c r="J81" s="358"/>
      <c r="K81" s="358"/>
      <c r="L81" s="358"/>
      <c r="M81" s="358"/>
      <c r="N81" s="358"/>
      <c r="O81" s="358"/>
      <c r="P81" s="358"/>
      <c r="Q81" s="358"/>
      <c r="R81" s="358"/>
      <c r="S81" s="358"/>
      <c r="T81" s="358"/>
      <c r="U81" s="34"/>
      <c r="V81" s="34"/>
      <c r="W81" s="34"/>
    </row>
    <row r="82" spans="2:23" x14ac:dyDescent="0.2">
      <c r="B82" s="77"/>
      <c r="C82" s="77"/>
      <c r="D82" s="78"/>
      <c r="E82" s="34"/>
      <c r="F82" s="34"/>
      <c r="G82" s="34"/>
      <c r="H82" s="34"/>
      <c r="I82" s="34"/>
      <c r="J82" s="34"/>
      <c r="K82" s="34"/>
      <c r="L82" s="34"/>
      <c r="M82" s="34"/>
      <c r="N82" s="34"/>
      <c r="O82" s="34"/>
      <c r="P82" s="34"/>
      <c r="Q82" s="34"/>
      <c r="R82" s="34"/>
      <c r="S82" s="34"/>
      <c r="T82" s="34"/>
      <c r="U82" s="34"/>
      <c r="V82" s="34"/>
      <c r="W82" s="34"/>
    </row>
    <row r="83" spans="2:23" x14ac:dyDescent="0.2">
      <c r="B83" s="51" t="s">
        <v>186</v>
      </c>
      <c r="C83" s="51"/>
      <c r="D83" s="51"/>
      <c r="E83" s="51"/>
      <c r="F83" s="51"/>
      <c r="G83" s="258"/>
      <c r="H83" s="258"/>
      <c r="I83" s="258"/>
      <c r="J83" s="258"/>
      <c r="K83" s="258">
        <f t="shared" ref="K83:W83" si="36">IF(K57&lt;J57,0,1)</f>
        <v>0</v>
      </c>
      <c r="L83" s="258">
        <f t="shared" si="36"/>
        <v>0</v>
      </c>
      <c r="M83" s="258">
        <f t="shared" si="36"/>
        <v>0</v>
      </c>
      <c r="N83" s="258">
        <f t="shared" si="36"/>
        <v>0</v>
      </c>
      <c r="O83" s="258">
        <f t="shared" si="36"/>
        <v>0</v>
      </c>
      <c r="P83" s="258">
        <f t="shared" si="36"/>
        <v>0</v>
      </c>
      <c r="Q83" s="258">
        <f t="shared" si="36"/>
        <v>0</v>
      </c>
      <c r="R83" s="258">
        <f t="shared" si="36"/>
        <v>0</v>
      </c>
      <c r="S83" s="258">
        <f t="shared" si="36"/>
        <v>0</v>
      </c>
      <c r="T83" s="258">
        <f t="shared" si="36"/>
        <v>0</v>
      </c>
      <c r="U83" s="258">
        <f t="shared" si="36"/>
        <v>0</v>
      </c>
      <c r="V83" s="258">
        <f t="shared" si="36"/>
        <v>0</v>
      </c>
      <c r="W83" s="258">
        <f t="shared" si="36"/>
        <v>0</v>
      </c>
    </row>
    <row r="84" spans="2:23" x14ac:dyDescent="0.2">
      <c r="B84" s="26" t="s">
        <v>260</v>
      </c>
      <c r="F84" s="29">
        <f t="shared" ref="F84:W84" si="37">IF(F57&gt;90,1,0)</f>
        <v>0</v>
      </c>
      <c r="G84" s="29">
        <f t="shared" si="37"/>
        <v>0</v>
      </c>
      <c r="H84" s="29">
        <f t="shared" si="37"/>
        <v>0</v>
      </c>
      <c r="I84" s="29">
        <f t="shared" si="37"/>
        <v>0</v>
      </c>
      <c r="J84" s="29">
        <f t="shared" si="37"/>
        <v>0</v>
      </c>
      <c r="K84" s="29">
        <f t="shared" si="37"/>
        <v>0</v>
      </c>
      <c r="L84" s="29">
        <f t="shared" si="37"/>
        <v>0</v>
      </c>
      <c r="M84" s="29">
        <f t="shared" si="37"/>
        <v>0</v>
      </c>
      <c r="N84" s="29">
        <f t="shared" si="37"/>
        <v>0</v>
      </c>
      <c r="O84" s="29">
        <f t="shared" si="37"/>
        <v>0</v>
      </c>
      <c r="P84" s="29">
        <f t="shared" si="37"/>
        <v>0</v>
      </c>
      <c r="Q84" s="29">
        <f t="shared" si="37"/>
        <v>0</v>
      </c>
      <c r="R84" s="29">
        <f t="shared" si="37"/>
        <v>0</v>
      </c>
      <c r="S84" s="29">
        <f t="shared" si="37"/>
        <v>0</v>
      </c>
      <c r="T84" s="29">
        <f t="shared" si="37"/>
        <v>0</v>
      </c>
      <c r="U84" s="29">
        <f t="shared" si="37"/>
        <v>0</v>
      </c>
      <c r="V84" s="29">
        <f t="shared" si="37"/>
        <v>0</v>
      </c>
      <c r="W84" s="29">
        <f t="shared" si="37"/>
        <v>0</v>
      </c>
    </row>
    <row r="85" spans="2:23" x14ac:dyDescent="0.2">
      <c r="B85" s="26" t="s">
        <v>261</v>
      </c>
      <c r="F85" s="29">
        <f t="shared" ref="F85:W85" si="38">IF(AND(F57&gt;60,F57&lt;=90),1,0)</f>
        <v>1</v>
      </c>
      <c r="G85" s="29">
        <f t="shared" si="38"/>
        <v>1</v>
      </c>
      <c r="H85" s="29">
        <f t="shared" si="38"/>
        <v>0</v>
      </c>
      <c r="I85" s="29">
        <f t="shared" si="38"/>
        <v>0</v>
      </c>
      <c r="J85" s="29">
        <f t="shared" si="38"/>
        <v>0</v>
      </c>
      <c r="K85" s="29">
        <f t="shared" si="38"/>
        <v>0</v>
      </c>
      <c r="L85" s="29">
        <f t="shared" si="38"/>
        <v>0</v>
      </c>
      <c r="M85" s="29">
        <f t="shared" si="38"/>
        <v>0</v>
      </c>
      <c r="N85" s="29">
        <f t="shared" si="38"/>
        <v>0</v>
      </c>
      <c r="O85" s="29">
        <f t="shared" si="38"/>
        <v>0</v>
      </c>
      <c r="P85" s="29">
        <f t="shared" si="38"/>
        <v>0</v>
      </c>
      <c r="Q85" s="29">
        <f t="shared" si="38"/>
        <v>0</v>
      </c>
      <c r="R85" s="29">
        <f t="shared" si="38"/>
        <v>0</v>
      </c>
      <c r="S85" s="29">
        <f t="shared" si="38"/>
        <v>0</v>
      </c>
      <c r="T85" s="29">
        <f t="shared" si="38"/>
        <v>0</v>
      </c>
      <c r="U85" s="29">
        <f t="shared" si="38"/>
        <v>0</v>
      </c>
      <c r="V85" s="29">
        <f t="shared" si="38"/>
        <v>0</v>
      </c>
      <c r="W85" s="29">
        <f t="shared" si="38"/>
        <v>0</v>
      </c>
    </row>
    <row r="86" spans="2:23" x14ac:dyDescent="0.2">
      <c r="B86" s="26" t="s">
        <v>262</v>
      </c>
      <c r="F86" s="29">
        <f t="shared" ref="F86:W86" si="39">IF(F57&gt;60,1,0)</f>
        <v>1</v>
      </c>
      <c r="G86" s="29">
        <f t="shared" si="39"/>
        <v>1</v>
      </c>
      <c r="H86" s="29">
        <f t="shared" si="39"/>
        <v>0</v>
      </c>
      <c r="I86" s="29">
        <f t="shared" si="39"/>
        <v>0</v>
      </c>
      <c r="J86" s="29">
        <f t="shared" si="39"/>
        <v>0</v>
      </c>
      <c r="K86" s="29">
        <f t="shared" si="39"/>
        <v>0</v>
      </c>
      <c r="L86" s="29">
        <f t="shared" si="39"/>
        <v>0</v>
      </c>
      <c r="M86" s="29">
        <f t="shared" si="39"/>
        <v>0</v>
      </c>
      <c r="N86" s="29">
        <f t="shared" si="39"/>
        <v>0</v>
      </c>
      <c r="O86" s="29">
        <f t="shared" si="39"/>
        <v>0</v>
      </c>
      <c r="P86" s="29">
        <f t="shared" si="39"/>
        <v>0</v>
      </c>
      <c r="Q86" s="29">
        <f t="shared" si="39"/>
        <v>0</v>
      </c>
      <c r="R86" s="29">
        <f t="shared" si="39"/>
        <v>0</v>
      </c>
      <c r="S86" s="29">
        <f t="shared" si="39"/>
        <v>0</v>
      </c>
      <c r="T86" s="29">
        <f t="shared" si="39"/>
        <v>0</v>
      </c>
      <c r="U86" s="29">
        <f t="shared" si="39"/>
        <v>0</v>
      </c>
      <c r="V86" s="29">
        <f t="shared" si="39"/>
        <v>0</v>
      </c>
      <c r="W86" s="29">
        <f t="shared" si="39"/>
        <v>0</v>
      </c>
    </row>
    <row r="87" spans="2:23" x14ac:dyDescent="0.2">
      <c r="B87" s="26" t="s">
        <v>263</v>
      </c>
      <c r="F87" s="366">
        <f>'Input data'!F17</f>
        <v>0</v>
      </c>
      <c r="G87" s="29">
        <f>IF(F87=0,0,IF(AND(E77&gt;-3.05,F77&gt;-3.05),0,1))</f>
        <v>0</v>
      </c>
      <c r="H87" s="29">
        <f t="shared" ref="H87:W87" si="40">IF(G87=0,0,IF(AND(F77&gt;-3.05,G77&gt;-3.05),0,1))</f>
        <v>0</v>
      </c>
      <c r="I87" s="29">
        <f t="shared" si="40"/>
        <v>0</v>
      </c>
      <c r="J87" s="29">
        <f t="shared" si="40"/>
        <v>0</v>
      </c>
      <c r="K87" s="29">
        <f t="shared" si="40"/>
        <v>0</v>
      </c>
      <c r="L87" s="29">
        <f t="shared" si="40"/>
        <v>0</v>
      </c>
      <c r="M87" s="29">
        <f t="shared" si="40"/>
        <v>0</v>
      </c>
      <c r="N87" s="29">
        <f t="shared" si="40"/>
        <v>0</v>
      </c>
      <c r="O87" s="29">
        <f t="shared" si="40"/>
        <v>0</v>
      </c>
      <c r="P87" s="29">
        <f t="shared" si="40"/>
        <v>0</v>
      </c>
      <c r="Q87" s="29">
        <f t="shared" si="40"/>
        <v>0</v>
      </c>
      <c r="R87" s="29">
        <f t="shared" si="40"/>
        <v>0</v>
      </c>
      <c r="S87" s="29">
        <f t="shared" si="40"/>
        <v>0</v>
      </c>
      <c r="T87" s="29">
        <f t="shared" si="40"/>
        <v>0</v>
      </c>
      <c r="U87" s="29">
        <f t="shared" si="40"/>
        <v>0</v>
      </c>
      <c r="V87" s="29">
        <f t="shared" si="40"/>
        <v>0</v>
      </c>
      <c r="W87" s="29">
        <f t="shared" si="40"/>
        <v>0</v>
      </c>
    </row>
    <row r="88" spans="2:23" x14ac:dyDescent="0.2">
      <c r="B88" s="26" t="s">
        <v>258</v>
      </c>
      <c r="F88" s="29">
        <f t="shared" ref="F88:W88" si="41">IF(F78&gt;=-1.55,1,0)</f>
        <v>1</v>
      </c>
      <c r="G88" s="29">
        <f t="shared" si="41"/>
        <v>1</v>
      </c>
      <c r="H88" s="29">
        <f t="shared" si="41"/>
        <v>1</v>
      </c>
      <c r="I88" s="29">
        <f t="shared" si="41"/>
        <v>1</v>
      </c>
      <c r="J88" s="29">
        <f t="shared" si="41"/>
        <v>1</v>
      </c>
      <c r="K88" s="29">
        <f t="shared" si="41"/>
        <v>1</v>
      </c>
      <c r="L88" s="29">
        <f t="shared" si="41"/>
        <v>1</v>
      </c>
      <c r="M88" s="29">
        <f t="shared" si="41"/>
        <v>1</v>
      </c>
      <c r="N88" s="29">
        <f t="shared" si="41"/>
        <v>1</v>
      </c>
      <c r="O88" s="29">
        <f t="shared" si="41"/>
        <v>1</v>
      </c>
      <c r="P88" s="29">
        <f t="shared" si="41"/>
        <v>1</v>
      </c>
      <c r="Q88" s="29">
        <f t="shared" si="41"/>
        <v>1</v>
      </c>
      <c r="R88" s="29">
        <f t="shared" si="41"/>
        <v>1</v>
      </c>
      <c r="S88" s="29">
        <f t="shared" si="41"/>
        <v>1</v>
      </c>
      <c r="T88" s="29">
        <f t="shared" si="41"/>
        <v>1</v>
      </c>
      <c r="U88" s="29">
        <f t="shared" si="41"/>
        <v>1</v>
      </c>
      <c r="V88" s="29">
        <f t="shared" si="41"/>
        <v>1</v>
      </c>
      <c r="W88" s="29">
        <f t="shared" si="41"/>
        <v>1</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144</v>
      </c>
      <c r="F90" s="34">
        <f>E57*F36/100*(1/((1+'Input data'!F30/100)*(1+F42/100)))</f>
        <v>1.3831494751458222</v>
      </c>
      <c r="G90" s="34">
        <f>F57*G36/100*(1/((1+'Input data'!G30/100)*(1+G42/100)))</f>
        <v>1.2767786110391002</v>
      </c>
      <c r="H90" s="34">
        <f>G57*H36/100*(1/((1+'Input data'!H30/100)*(1+H42/100)))</f>
        <v>1.2831379643233658</v>
      </c>
      <c r="I90" s="34">
        <f>H57*I36/100*(1/((1+'Input data'!I30/100)*(1+I42/100)))</f>
        <v>1.2649332113743252</v>
      </c>
      <c r="J90" s="34">
        <f>I57*J36/100*(1/((1+'Input data'!J30/100)*(1+J42/100)))</f>
        <v>1.2365500441397026</v>
      </c>
      <c r="K90" s="34">
        <f>J57*K36/100*(1/((1+'Input data'!K30/100)*(1+K42/100)))</f>
        <v>1.2011368913869918</v>
      </c>
      <c r="L90" s="34">
        <f>K57*L36/100*(1/((1+'Input data'!L30/100)*(1+L42/100)))</f>
        <v>1.1477033815748543</v>
      </c>
      <c r="M90" s="34">
        <f>L57*M36/100*(1/((1+'Input data'!M30/100)*(1+M42/100)))</f>
        <v>1.0856651882778106</v>
      </c>
      <c r="N90" s="34">
        <f>M57*N36/100*(1/((1+'Input data'!N30/100)*(1+N42/100)))</f>
        <v>1.0261782020781569</v>
      </c>
      <c r="O90" s="34">
        <f>N57*O36/100*(1/((1+'Input data'!O30/100)*(1+O42/100)))</f>
        <v>0.94472596132227915</v>
      </c>
      <c r="P90" s="34">
        <f>O57*P36/100*(1/((1+'Input data'!P30/100)*(1+P42/100)))</f>
        <v>0.86757401490002517</v>
      </c>
      <c r="Q90" s="34">
        <f>P57*Q36/100*(1/((1+'Input data'!Q30/100)*(1+Q42/100)))</f>
        <v>0.793378321096048</v>
      </c>
      <c r="R90" s="34">
        <f>Q57*R36/100*(1/((1+'Input data'!R30/100)*(1+R42/100)))</f>
        <v>0.72492403981568965</v>
      </c>
      <c r="S90" s="34">
        <f>R57*S36/100*(1/((1+'Input data'!S30/100)*(1+S42/100)))</f>
        <v>0.65968824627445688</v>
      </c>
      <c r="T90" s="34">
        <f>S57*T36/100*(1/((1+'Input data'!T30/100)*(1+T42/100)))</f>
        <v>0.59739017758953605</v>
      </c>
      <c r="U90" s="34">
        <f>T57*U36/100*(1/((1+'Input data'!U30/100)*(1+U42/100)))</f>
        <v>0.5369222704313622</v>
      </c>
      <c r="V90" s="34">
        <f>U57*V36/100*(1/((1+'Input data'!V30/100)*(1+V42/100)))</f>
        <v>0.47099665750184189</v>
      </c>
      <c r="W90" s="34">
        <f>V57*W36/100*(1/((1+'Input data'!W30/100)*(1+W42/100)))</f>
        <v>0.41145059812243812</v>
      </c>
    </row>
    <row r="91" spans="2:23" x14ac:dyDescent="0.2">
      <c r="B91" s="32" t="s">
        <v>259</v>
      </c>
      <c r="F91" s="34"/>
      <c r="G91" s="34">
        <f>G90-F90</f>
        <v>-0.10637086410672203</v>
      </c>
      <c r="H91" s="34">
        <f t="shared" ref="H91:W91" si="42">H90-G90</f>
        <v>6.3593532842656231E-3</v>
      </c>
      <c r="I91" s="34">
        <f t="shared" si="42"/>
        <v>-1.8204752949040559E-2</v>
      </c>
      <c r="J91" s="34">
        <f t="shared" si="42"/>
        <v>-2.8383167234622642E-2</v>
      </c>
      <c r="K91" s="34">
        <f t="shared" si="42"/>
        <v>-3.5413152752710841E-2</v>
      </c>
      <c r="L91" s="34">
        <f t="shared" si="42"/>
        <v>-5.3433509812137459E-2</v>
      </c>
      <c r="M91" s="34">
        <f t="shared" si="42"/>
        <v>-6.2038193297043742E-2</v>
      </c>
      <c r="N91" s="34">
        <f t="shared" si="42"/>
        <v>-5.9486986199653646E-2</v>
      </c>
      <c r="O91" s="34">
        <f t="shared" si="42"/>
        <v>-8.1452240755877758E-2</v>
      </c>
      <c r="P91" s="34">
        <f t="shared" si="42"/>
        <v>-7.7151946422253981E-2</v>
      </c>
      <c r="Q91" s="34">
        <f t="shared" si="42"/>
        <v>-7.419569380397717E-2</v>
      </c>
      <c r="R91" s="34">
        <f t="shared" si="42"/>
        <v>-6.8454281280358353E-2</v>
      </c>
      <c r="S91" s="34">
        <f t="shared" si="42"/>
        <v>-6.5235793541232767E-2</v>
      </c>
      <c r="T91" s="34">
        <f t="shared" si="42"/>
        <v>-6.2298068684920826E-2</v>
      </c>
      <c r="U91" s="34">
        <f t="shared" si="42"/>
        <v>-6.046790715817385E-2</v>
      </c>
      <c r="V91" s="34">
        <f t="shared" si="42"/>
        <v>-6.5925612929520316E-2</v>
      </c>
      <c r="W91" s="34">
        <f t="shared" si="42"/>
        <v>-5.9546059379403771E-2</v>
      </c>
    </row>
    <row r="92" spans="2:23" x14ac:dyDescent="0.2">
      <c r="D92" s="53"/>
    </row>
    <row r="93" spans="2:23" s="93" customFormat="1" ht="12.75" outlineLevel="1" x14ac:dyDescent="0.2">
      <c r="B93" s="94" t="s">
        <v>124</v>
      </c>
      <c r="C93" s="95"/>
      <c r="E93" s="96"/>
      <c r="F93" s="95"/>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125</v>
      </c>
      <c r="D95" s="29">
        <f t="shared" ref="D95:W95" si="43">IF((D100-C100*D43/((1+D24/100)*(1+D42/100)))&gt;0,1,0)</f>
        <v>0</v>
      </c>
      <c r="E95" s="29">
        <f t="shared" si="43"/>
        <v>0</v>
      </c>
      <c r="F95" s="29">
        <f t="shared" si="43"/>
        <v>0</v>
      </c>
      <c r="G95" s="29">
        <f t="shared" si="43"/>
        <v>0</v>
      </c>
      <c r="H95" s="29">
        <f t="shared" si="43"/>
        <v>0</v>
      </c>
      <c r="I95" s="29">
        <f t="shared" si="43"/>
        <v>0</v>
      </c>
      <c r="J95" s="29">
        <f t="shared" si="43"/>
        <v>0</v>
      </c>
      <c r="K95" s="29">
        <f t="shared" si="43"/>
        <v>0</v>
      </c>
      <c r="L95" s="29">
        <f t="shared" si="43"/>
        <v>0</v>
      </c>
      <c r="M95" s="29">
        <f t="shared" si="43"/>
        <v>0</v>
      </c>
      <c r="N95" s="29">
        <f t="shared" si="43"/>
        <v>0</v>
      </c>
      <c r="O95" s="29">
        <f t="shared" si="43"/>
        <v>0</v>
      </c>
      <c r="P95" s="29">
        <f t="shared" si="43"/>
        <v>0</v>
      </c>
      <c r="Q95" s="29">
        <f t="shared" si="43"/>
        <v>0</v>
      </c>
      <c r="R95" s="29">
        <f t="shared" si="43"/>
        <v>0</v>
      </c>
      <c r="S95" s="29">
        <f t="shared" si="43"/>
        <v>0</v>
      </c>
      <c r="T95" s="29">
        <f t="shared" si="43"/>
        <v>0</v>
      </c>
      <c r="U95" s="29">
        <f t="shared" si="43"/>
        <v>0</v>
      </c>
      <c r="V95" s="29">
        <f t="shared" si="43"/>
        <v>0</v>
      </c>
      <c r="W95" s="29">
        <f t="shared" si="43"/>
        <v>0</v>
      </c>
    </row>
    <row r="96" spans="2:23" x14ac:dyDescent="0.2">
      <c r="B96" s="26" t="s">
        <v>126</v>
      </c>
      <c r="D96" s="29">
        <f t="shared" ref="D96:W96" si="44">IF(AND(D95=0,ABS(D100-C100*D43/((1+D24/100)*(1+D42/100)))&lt;((C106*C100*D43/((1+D24/100)*(1+D42/100))+(D39*C100*C107*D43/((1+D24/100)*(1+D42/100)))))),1,0)</f>
        <v>0</v>
      </c>
      <c r="E96" s="29">
        <f t="shared" si="44"/>
        <v>1</v>
      </c>
      <c r="F96" s="29">
        <f t="shared" si="44"/>
        <v>1</v>
      </c>
      <c r="G96" s="29">
        <f t="shared" si="44"/>
        <v>1</v>
      </c>
      <c r="H96" s="29">
        <f t="shared" si="44"/>
        <v>1</v>
      </c>
      <c r="I96" s="29">
        <f t="shared" si="44"/>
        <v>1</v>
      </c>
      <c r="J96" s="29">
        <f t="shared" si="44"/>
        <v>1</v>
      </c>
      <c r="K96" s="29">
        <f t="shared" si="44"/>
        <v>1</v>
      </c>
      <c r="L96" s="29">
        <f t="shared" si="44"/>
        <v>1</v>
      </c>
      <c r="M96" s="29">
        <f t="shared" si="44"/>
        <v>1</v>
      </c>
      <c r="N96" s="29">
        <f t="shared" si="44"/>
        <v>1</v>
      </c>
      <c r="O96" s="29">
        <f t="shared" si="44"/>
        <v>1</v>
      </c>
      <c r="P96" s="29">
        <f t="shared" si="44"/>
        <v>1</v>
      </c>
      <c r="Q96" s="29">
        <f t="shared" si="44"/>
        <v>1</v>
      </c>
      <c r="R96" s="29">
        <f t="shared" si="44"/>
        <v>1</v>
      </c>
      <c r="S96" s="29">
        <f t="shared" si="44"/>
        <v>1</v>
      </c>
      <c r="T96" s="29">
        <f t="shared" si="44"/>
        <v>1</v>
      </c>
      <c r="U96" s="29">
        <f t="shared" si="44"/>
        <v>0</v>
      </c>
      <c r="V96" s="29">
        <f t="shared" si="44"/>
        <v>0</v>
      </c>
      <c r="W96" s="29">
        <f t="shared" si="44"/>
        <v>0</v>
      </c>
    </row>
    <row r="98" spans="2:23" x14ac:dyDescent="0.2">
      <c r="H98" s="38"/>
      <c r="I98" s="38"/>
      <c r="J98" s="38"/>
      <c r="K98" s="38"/>
      <c r="L98" s="38"/>
      <c r="M98" s="38"/>
      <c r="N98" s="38"/>
      <c r="O98" s="38"/>
      <c r="P98" s="38"/>
      <c r="Q98" s="38"/>
      <c r="R98" s="38"/>
      <c r="S98" s="38"/>
      <c r="T98" s="38"/>
    </row>
    <row r="99" spans="2:23" x14ac:dyDescent="0.2">
      <c r="B99" s="51"/>
      <c r="C99" s="86">
        <v>2021</v>
      </c>
      <c r="D99" s="86">
        <v>2022</v>
      </c>
      <c r="E99" s="86">
        <v>2023</v>
      </c>
      <c r="F99" s="86">
        <v>2024</v>
      </c>
      <c r="G99" s="86">
        <v>2025</v>
      </c>
      <c r="H99" s="86">
        <v>2026</v>
      </c>
      <c r="I99" s="86">
        <v>2027</v>
      </c>
      <c r="J99" s="86">
        <v>2028</v>
      </c>
      <c r="K99" s="86">
        <v>2029</v>
      </c>
      <c r="L99" s="86">
        <v>2030</v>
      </c>
      <c r="M99" s="86">
        <v>2031</v>
      </c>
      <c r="N99" s="86">
        <v>2032</v>
      </c>
      <c r="O99" s="86">
        <v>2033</v>
      </c>
      <c r="P99" s="86">
        <v>2034</v>
      </c>
      <c r="Q99" s="86">
        <v>2035</v>
      </c>
      <c r="R99" s="86">
        <v>2036</v>
      </c>
      <c r="S99" s="86">
        <v>2037</v>
      </c>
      <c r="T99" s="86">
        <v>2038</v>
      </c>
      <c r="U99" s="86">
        <v>2039</v>
      </c>
      <c r="V99" s="86">
        <v>2040</v>
      </c>
      <c r="W99" s="86">
        <v>2041</v>
      </c>
    </row>
    <row r="100" spans="2:23" x14ac:dyDescent="0.2">
      <c r="B100" s="106" t="s">
        <v>104</v>
      </c>
      <c r="C100" s="110">
        <f>C57</f>
        <v>99.250230000000002</v>
      </c>
      <c r="D100" s="110">
        <f>D57</f>
        <v>85.595287844886869</v>
      </c>
      <c r="E100" s="110">
        <f>E57</f>
        <v>77.284440321959977</v>
      </c>
      <c r="F100" s="110">
        <f>F57</f>
        <v>70.579945075187567</v>
      </c>
      <c r="G100" s="110">
        <f>G57</f>
        <v>65.467738950078513</v>
      </c>
      <c r="H100" s="110">
        <f t="shared" ref="H100:W100" si="45">G100*(1+H113/100)*H43-H60-H61+H62+H63+H64+H65+H66+H72</f>
        <v>59.991048043186375</v>
      </c>
      <c r="I100" s="110">
        <f t="shared" si="45"/>
        <v>55.344336413083951</v>
      </c>
      <c r="J100" s="110">
        <f t="shared" si="45"/>
        <v>50.929639670376446</v>
      </c>
      <c r="K100" s="110">
        <f t="shared" si="45"/>
        <v>46.496687645996076</v>
      </c>
      <c r="L100" s="110">
        <f t="shared" si="45"/>
        <v>42.459373869564104</v>
      </c>
      <c r="M100" s="110">
        <f t="shared" si="45"/>
        <v>38.775312732290452</v>
      </c>
      <c r="N100" s="110">
        <f t="shared" si="45"/>
        <v>35.374126048899576</v>
      </c>
      <c r="O100" s="110">
        <f t="shared" si="45"/>
        <v>32.262514939085712</v>
      </c>
      <c r="P100" s="110">
        <f t="shared" si="45"/>
        <v>29.340409626930629</v>
      </c>
      <c r="Q100" s="110">
        <f t="shared" si="45"/>
        <v>26.665659419907424</v>
      </c>
      <c r="R100" s="110">
        <f t="shared" si="45"/>
        <v>24.168336235214824</v>
      </c>
      <c r="S100" s="110">
        <f t="shared" si="45"/>
        <v>21.808684985207471</v>
      </c>
      <c r="T100" s="110">
        <f t="shared" si="45"/>
        <v>19.585857825183712</v>
      </c>
      <c r="U100" s="110">
        <f t="shared" si="45"/>
        <v>17.188179668616968</v>
      </c>
      <c r="V100" s="110">
        <f t="shared" si="45"/>
        <v>15.006288509813091</v>
      </c>
      <c r="W100" s="110">
        <f t="shared" si="45"/>
        <v>12.883662123244543</v>
      </c>
    </row>
    <row r="101" spans="2:23" x14ac:dyDescent="0.2">
      <c r="B101" s="26" t="s">
        <v>127</v>
      </c>
      <c r="C101" s="34"/>
      <c r="D101" s="254">
        <f>'Input data'!C66*$D$100</f>
        <v>80.579287385165813</v>
      </c>
      <c r="E101" s="34">
        <f t="shared" ref="E101:W101" si="46">IF(E100=0,0,IF(E95=1,D100*E43/((1+E24/100)*(1+E42/100))-E102-E103,IF(AND(E95=0,E96=1),(1-D106-E39*D107)*D100*E43/((1+E24/100)*(1+E42/100)),E100)))</f>
        <v>74.184299752358967</v>
      </c>
      <c r="F101" s="34">
        <f t="shared" si="46"/>
        <v>65.060117711874639</v>
      </c>
      <c r="G101" s="34">
        <f t="shared" si="46"/>
        <v>58.819172918048189</v>
      </c>
      <c r="H101" s="34">
        <f t="shared" si="46"/>
        <v>53.699099566552945</v>
      </c>
      <c r="I101" s="34">
        <f t="shared" si="46"/>
        <v>49.655082806150212</v>
      </c>
      <c r="J101" s="34">
        <f t="shared" si="46"/>
        <v>45.512505366619386</v>
      </c>
      <c r="K101" s="34">
        <f t="shared" si="46"/>
        <v>42.029998026493971</v>
      </c>
      <c r="L101" s="34">
        <f t="shared" si="46"/>
        <v>39.032274013239991</v>
      </c>
      <c r="M101" s="34">
        <f t="shared" si="46"/>
        <v>35.530997494807188</v>
      </c>
      <c r="N101" s="34">
        <f t="shared" si="46"/>
        <v>34.558305163936765</v>
      </c>
      <c r="O101" s="34">
        <f t="shared" si="46"/>
        <v>31.654506391783301</v>
      </c>
      <c r="P101" s="34">
        <f t="shared" si="46"/>
        <v>28.882195540034843</v>
      </c>
      <c r="Q101" s="34">
        <f t="shared" si="46"/>
        <v>26.256574443700291</v>
      </c>
      <c r="R101" s="34">
        <f t="shared" si="46"/>
        <v>23.865004466641071</v>
      </c>
      <c r="S101" s="34">
        <f t="shared" si="46"/>
        <v>21.581298630363925</v>
      </c>
      <c r="T101" s="34">
        <f t="shared" si="46"/>
        <v>19.52329105812446</v>
      </c>
      <c r="U101" s="34">
        <f t="shared" si="46"/>
        <v>17.188179668616968</v>
      </c>
      <c r="V101" s="34">
        <f t="shared" si="46"/>
        <v>15.006288509813091</v>
      </c>
      <c r="W101" s="34">
        <f t="shared" si="46"/>
        <v>12.883662123244543</v>
      </c>
    </row>
    <row r="102" spans="2:23" x14ac:dyDescent="0.2">
      <c r="B102" s="105" t="s">
        <v>128</v>
      </c>
      <c r="C102" s="34"/>
      <c r="D102" s="254">
        <f>'Input data'!C67*$D$100</f>
        <v>4.0611173722051426</v>
      </c>
      <c r="E102" s="34">
        <f t="shared" ref="E102:W102" si="47">IF(E100=0,0,IF(E95=1,E39*D100*D107*E43/((1+E24/100)*(1+E42/100)),IF(AND(E95=0,E96=1),(E39*D100*D107*E43/((1+E24/100)*(1+E42/100)))*(1-ABS(E100-D100*E43/((1+E24/100)*(1+E42/100)))/((E39*D100*D107*E43/((1+E24/100)*(1+E42/100)))+(D106*D100*E43/((1+E24/100)*(1+E42/100))))),0)))</f>
        <v>2.6058483973222213</v>
      </c>
      <c r="F102" s="34">
        <f t="shared" si="47"/>
        <v>5.1759171739107712</v>
      </c>
      <c r="G102" s="34">
        <f t="shared" si="47"/>
        <v>6.3811475370972586</v>
      </c>
      <c r="H102" s="34">
        <f t="shared" si="47"/>
        <v>6.1104905546643487</v>
      </c>
      <c r="I102" s="34">
        <f t="shared" si="47"/>
        <v>5.5656309792495504</v>
      </c>
      <c r="J102" s="34">
        <f t="shared" si="47"/>
        <v>5.3331674336658734</v>
      </c>
      <c r="K102" s="34">
        <f t="shared" si="47"/>
        <v>4.4142231064095441</v>
      </c>
      <c r="L102" s="34">
        <f t="shared" si="47"/>
        <v>3.3964358759633804</v>
      </c>
      <c r="M102" s="34">
        <f t="shared" si="47"/>
        <v>3.2261692571075273</v>
      </c>
      <c r="N102" s="34">
        <f t="shared" si="47"/>
        <v>0.81055627933492325</v>
      </c>
      <c r="O102" s="34">
        <f t="shared" si="47"/>
        <v>0.60669370044255577</v>
      </c>
      <c r="P102" s="34">
        <f t="shared" si="47"/>
        <v>0.45793981701202541</v>
      </c>
      <c r="Q102" s="34">
        <f t="shared" si="47"/>
        <v>0.40902881384191642</v>
      </c>
      <c r="R102" s="34">
        <f t="shared" si="47"/>
        <v>0.30332232740418918</v>
      </c>
      <c r="S102" s="34">
        <f t="shared" si="47"/>
        <v>0.22738507160822716</v>
      </c>
      <c r="T102" s="34">
        <f t="shared" si="47"/>
        <v>6.2566711806775005E-2</v>
      </c>
      <c r="U102" s="34">
        <f t="shared" si="47"/>
        <v>0</v>
      </c>
      <c r="V102" s="34">
        <f t="shared" si="47"/>
        <v>0</v>
      </c>
      <c r="W102" s="34">
        <f t="shared" si="47"/>
        <v>0</v>
      </c>
    </row>
    <row r="103" spans="2:23" x14ac:dyDescent="0.2">
      <c r="B103" s="105" t="s">
        <v>129</v>
      </c>
      <c r="C103" s="34"/>
      <c r="D103" s="254">
        <f>'Input data'!C68*$D$100</f>
        <v>0.95488418751601412</v>
      </c>
      <c r="E103" s="34">
        <f t="shared" ref="E103:W103" si="48">IF(E100=0,0,IF(E95=1,(1-D107)*D100*E43/((1+E24/100)*(1+E42/100)),IF(AND(E95=0,E96=1),(D106*D100*E43/((1+E24/100)*(1+E42/100)))*(1-ABS(E100-D100*E43/((1+E24/100)*(1+E42/100)))/((E39*D100*D107*E43/((1+E24/100)*(1+E42/100)))+(D106*D100*E43/((1+E24/100)*(1+E42/100))))),0)))</f>
        <v>0.49429217227879385</v>
      </c>
      <c r="F103" s="34">
        <f t="shared" si="48"/>
        <v>0.34391018940216095</v>
      </c>
      <c r="G103" s="34">
        <f t="shared" si="48"/>
        <v>0.26741849493307074</v>
      </c>
      <c r="H103" s="34">
        <f t="shared" si="48"/>
        <v>0.18145792196909175</v>
      </c>
      <c r="I103" s="34">
        <f t="shared" si="48"/>
        <v>0.12362262768419337</v>
      </c>
      <c r="J103" s="34">
        <f t="shared" si="48"/>
        <v>8.3966870091188764E-2</v>
      </c>
      <c r="K103" s="34">
        <f t="shared" si="48"/>
        <v>5.2466513092552541E-2</v>
      </c>
      <c r="L103" s="34">
        <f t="shared" si="48"/>
        <v>3.0663980360727802E-2</v>
      </c>
      <c r="M103" s="34">
        <f t="shared" si="48"/>
        <v>1.814598037573821E-2</v>
      </c>
      <c r="N103" s="34">
        <f t="shared" si="48"/>
        <v>5.2646056278890596E-3</v>
      </c>
      <c r="O103" s="34">
        <f t="shared" si="48"/>
        <v>1.3148468598516609E-3</v>
      </c>
      <c r="P103" s="34">
        <f t="shared" si="48"/>
        <v>2.7426988376361969E-4</v>
      </c>
      <c r="Q103" s="34">
        <f t="shared" si="48"/>
        <v>5.6162365215937796E-5</v>
      </c>
      <c r="R103" s="34">
        <f t="shared" si="48"/>
        <v>9.441169562582025E-6</v>
      </c>
      <c r="S103" s="34">
        <f t="shared" si="48"/>
        <v>1.283235318611989E-6</v>
      </c>
      <c r="T103" s="34">
        <f t="shared" si="48"/>
        <v>5.525247505201851E-8</v>
      </c>
      <c r="U103" s="34">
        <f t="shared" si="48"/>
        <v>0</v>
      </c>
      <c r="V103" s="34">
        <f t="shared" si="48"/>
        <v>0</v>
      </c>
      <c r="W103" s="34">
        <f t="shared" si="48"/>
        <v>0</v>
      </c>
    </row>
    <row r="104" spans="2:23" x14ac:dyDescent="0.2">
      <c r="B104" s="105" t="s">
        <v>130</v>
      </c>
      <c r="C104" s="34"/>
      <c r="D104" s="254">
        <f>'Input data'!C69*$D$100</f>
        <v>0</v>
      </c>
      <c r="E104" s="34">
        <f>IF(E100=0,0,IF(E95=1,'Input data'!$C$58*(E100-D100*E43/((1+E24/100)*(1+E42/100))),0))</f>
        <v>0</v>
      </c>
      <c r="F104" s="34">
        <f>IF(F100=0,0,IF(F95=1,'Input data'!$C$58*(F100-E100*F43/((1+F24/100)*(1+F42/100))),0))</f>
        <v>0</v>
      </c>
      <c r="G104" s="34">
        <f>IF(G100=0,0,IF(G95=1,'Input data'!$C$58*(G100-F100*G43/((1+G24/100)*(1+G42/100))),0))</f>
        <v>0</v>
      </c>
      <c r="H104" s="34">
        <f>IF(H100=0,0,IF(H95=1,'Input data'!$C$58*(H100-G100*H43/((1+H24/100)*(1+H42/100))),0))</f>
        <v>0</v>
      </c>
      <c r="I104" s="34">
        <f>IF(I100=0,0,IF(I95=1,'Input data'!$C$58*(I100-H100*I43/((1+I24/100)*(1+I42/100))),0))</f>
        <v>0</v>
      </c>
      <c r="J104" s="34">
        <f>IF(J100=0,0,IF(J95=1,'Input data'!$C$58*(J100-I100*J43/((1+J24/100)*(1+J42/100))),0))</f>
        <v>0</v>
      </c>
      <c r="K104" s="34">
        <f>IF(K100=0,0,IF(K95=1,'Input data'!$C$58*(K100-J100*K43/((1+K24/100)*(1+K42/100))),0))</f>
        <v>0</v>
      </c>
      <c r="L104" s="34">
        <f>IF(L100=0,0,IF(L95=1,'Input data'!$C$58*(L100-K100*L43/((1+L24/100)*(1+L42/100))),0))</f>
        <v>0</v>
      </c>
      <c r="M104" s="34">
        <f>IF(M100=0,0,IF(M95=1,'Input data'!$C$58*(M100-L100*M43/((1+M24/100)*(1+M42/100))),0))</f>
        <v>0</v>
      </c>
      <c r="N104" s="34">
        <f>IF(N100=0,0,IF(N95=1,'Input data'!$C$58*(N100-M100*N43/((1+N24/100)*(1+N42/100))),0))</f>
        <v>0</v>
      </c>
      <c r="O104" s="34">
        <f>IF(O100=0,0,IF(O95=1,'Input data'!$C$58*(O100-N100*O43/((1+O24/100)*(1+O42/100))),0))</f>
        <v>0</v>
      </c>
      <c r="P104" s="34">
        <f>IF(P100=0,0,IF(P95=1,'Input data'!$C$58*(P100-O100*P43/((1+P24/100)*(1+P42/100))),0))</f>
        <v>0</v>
      </c>
      <c r="Q104" s="34">
        <f>IF(Q100=0,0,IF(Q95=1,'Input data'!$C$58*(Q100-P100*Q43/((1+Q24/100)*(1+Q42/100))),0))</f>
        <v>0</v>
      </c>
      <c r="R104" s="34">
        <f>IF(R100=0,0,IF(R95=1,'Input data'!$C$58*(R100-Q100*R43/((1+R24/100)*(1+R42/100))),0))</f>
        <v>0</v>
      </c>
      <c r="S104" s="34">
        <f>IF(S100=0,0,IF(S95=1,'Input data'!$C$58*(S100-R100*S43/((1+S24/100)*(1+S42/100))),0))</f>
        <v>0</v>
      </c>
      <c r="T104" s="34">
        <f>IF(T100=0,0,IF(T95=1,'Input data'!$C$58*(T100-S100*T43/((1+T24/100)*(1+T42/100))),0))</f>
        <v>0</v>
      </c>
      <c r="U104" s="34">
        <f>IF(U100=0,0,IF(U95=1,'Input data'!$C$58*(U100-T100*U43/((1+U24/100)*(1+U42/100))),0))</f>
        <v>0</v>
      </c>
      <c r="V104" s="34">
        <f>IF(V100=0,0,IF(V95=1,'Input data'!$C$58*(V100-U100*V43/((1+V24/100)*(1+V42/100))),0))</f>
        <v>0</v>
      </c>
      <c r="W104" s="34">
        <f>IF(W100=0,0,IF(W95=1,'Input data'!$C$58*(W100-V100*W43/((1+W24/100)*(1+W42/100))),0))</f>
        <v>0</v>
      </c>
    </row>
    <row r="105" spans="2:23" x14ac:dyDescent="0.2">
      <c r="B105" s="107" t="s">
        <v>131</v>
      </c>
      <c r="C105" s="49"/>
      <c r="D105" s="255">
        <f>'Input data'!C70*$D$100</f>
        <v>0</v>
      </c>
      <c r="E105" s="49">
        <f>IF(E100=0,0,IF(E95=1,'Input data'!$C$57*(E100-D100*E43/((1+E24/100)*(1+E42/100))),0))</f>
        <v>0</v>
      </c>
      <c r="F105" s="49">
        <f>IF(F100=0,0,IF(F95=1,'Input data'!$C$57*(F100-E100*F43/((1+F24/100)*(1+F42/100))),0))</f>
        <v>0</v>
      </c>
      <c r="G105" s="49">
        <f>IF(G100=0,0,IF(G95=1,'Input data'!$C$57*(G100-F100*G43/((1+G24/100)*(1+G42/100))),0))</f>
        <v>0</v>
      </c>
      <c r="H105" s="49">
        <f>IF(H100=0,0,IF(H95=1,'Input data'!$C$57*(H100-G100*H43/((1+H24/100)*(1+H42/100))),0))</f>
        <v>0</v>
      </c>
      <c r="I105" s="49">
        <f>IF(I100=0,0,IF(I95=1,'Input data'!$C$57*(I100-H100*I43/((1+I24/100)*(1+I42/100))),0))</f>
        <v>0</v>
      </c>
      <c r="J105" s="49">
        <f>IF(J100=0,0,IF(J95=1,'Input data'!$C$57*(J100-I100*J43/((1+J24/100)*(1+J42/100))),0))</f>
        <v>0</v>
      </c>
      <c r="K105" s="49">
        <f>IF(K100=0,0,IF(K95=1,'Input data'!$C$57*(K100-J100*K43/((1+K24/100)*(1+K42/100))),0))</f>
        <v>0</v>
      </c>
      <c r="L105" s="49">
        <f>IF(L100=0,0,IF(L95=1,'Input data'!$C$57*(L100-K100*L43/((1+L24/100)*(1+L42/100))),0))</f>
        <v>0</v>
      </c>
      <c r="M105" s="49">
        <f>IF(M100=0,0,IF(M95=1,'Input data'!$C$57*(M100-L100*M43/((1+M24/100)*(1+M42/100))),0))</f>
        <v>0</v>
      </c>
      <c r="N105" s="49">
        <f>IF(N100=0,0,IF(N95=1,'Input data'!$C$57*(N100-M100*N43/((1+N24/100)*(1+N42/100))),0))</f>
        <v>0</v>
      </c>
      <c r="O105" s="49">
        <f>IF(O100=0,0,IF(O95=1,'Input data'!$C$57*(O100-N100*O43/((1+O24/100)*(1+O42/100))),0))</f>
        <v>0</v>
      </c>
      <c r="P105" s="49">
        <f>IF(P100=0,0,IF(P95=1,'Input data'!$C$57*(P100-O100*P43/((1+P24/100)*(1+P42/100))),0))</f>
        <v>0</v>
      </c>
      <c r="Q105" s="49">
        <f>IF(Q100=0,0,IF(Q95=1,'Input data'!$C$57*(Q100-P100*Q43/((1+Q24/100)*(1+Q42/100))),0))</f>
        <v>0</v>
      </c>
      <c r="R105" s="49">
        <f>IF(R100=0,0,IF(R95=1,'Input data'!$C$57*(R100-Q100*R43/((1+R24/100)*(1+R42/100))),0))</f>
        <v>0</v>
      </c>
      <c r="S105" s="49">
        <f>IF(S100=0,0,IF(S95=1,'Input data'!$C$57*(S100-R100*S43/((1+S24/100)*(1+S42/100))),0))</f>
        <v>0</v>
      </c>
      <c r="T105" s="49">
        <f>IF(T100=0,0,IF(T95=1,'Input data'!$C$57*(T100-S100*T43/((1+T24/100)*(1+T42/100))),0))</f>
        <v>0</v>
      </c>
      <c r="U105" s="49">
        <f>IF(U100=0,0,IF(U95=1,'Input data'!$C$57*(U100-T100*U43/((1+U24/100)*(1+U42/100))),0))</f>
        <v>0</v>
      </c>
      <c r="V105" s="49">
        <f>IF(V100=0,0,IF(V95=1,'Input data'!$C$57*(V100-U100*V43/((1+V24/100)*(1+V42/100))),0))</f>
        <v>0</v>
      </c>
      <c r="W105" s="49">
        <f>IF(W100=0,0,IF(W95=1,'Input data'!$C$57*(W100-V100*W43/((1+W24/100)*(1+W42/100))),0))</f>
        <v>0</v>
      </c>
    </row>
    <row r="106" spans="2:23" x14ac:dyDescent="0.2">
      <c r="B106" s="26" t="s">
        <v>73</v>
      </c>
      <c r="C106" s="36"/>
      <c r="D106" s="260">
        <f>'Baseline NFPC'!$D$93</f>
        <v>1.1155790366010776E-2</v>
      </c>
      <c r="E106" s="36">
        <f t="shared" ref="E106:G106" si="49">IF(E100&lt;&gt;0,(E103+E105)/(E101+E102+E103+E104+E105),0)</f>
        <v>6.3957527572124145E-3</v>
      </c>
      <c r="F106" s="36">
        <f t="shared" si="49"/>
        <v>4.8726332818168029E-3</v>
      </c>
      <c r="G106" s="36">
        <f t="shared" si="49"/>
        <v>4.0847369898781277E-3</v>
      </c>
      <c r="H106" s="36">
        <f t="shared" ref="H106:W106" si="50">IF(H100&lt;&gt;0,(H103+H105)/(H101+H102+H103+H104+H105),0)</f>
        <v>3.0247499900062373E-3</v>
      </c>
      <c r="I106" s="36">
        <f t="shared" si="50"/>
        <v>2.233699700751453E-3</v>
      </c>
      <c r="J106" s="36">
        <f t="shared" si="50"/>
        <v>1.6486837651833739E-3</v>
      </c>
      <c r="K106" s="36">
        <f t="shared" si="50"/>
        <v>1.1283924887727039E-3</v>
      </c>
      <c r="L106" s="36">
        <f t="shared" si="50"/>
        <v>7.2219577365714477E-4</v>
      </c>
      <c r="M106" s="36">
        <f t="shared" si="50"/>
        <v>4.6797766664115131E-4</v>
      </c>
      <c r="N106" s="36">
        <f t="shared" si="50"/>
        <v>1.4882645074005529E-4</v>
      </c>
      <c r="O106" s="36">
        <f t="shared" si="50"/>
        <v>4.0754630019829529E-5</v>
      </c>
      <c r="P106" s="36">
        <f t="shared" si="50"/>
        <v>9.3478546227206063E-6</v>
      </c>
      <c r="Q106" s="36">
        <f t="shared" si="50"/>
        <v>2.1061682492655484E-6</v>
      </c>
      <c r="R106" s="36">
        <f t="shared" si="50"/>
        <v>3.9064209760643895E-7</v>
      </c>
      <c r="S106" s="36">
        <f t="shared" si="50"/>
        <v>5.8840563724148875E-8</v>
      </c>
      <c r="T106" s="36">
        <f t="shared" si="50"/>
        <v>2.8210393205741683E-9</v>
      </c>
      <c r="U106" s="36">
        <f>IF(U100&lt;&gt;0,(U103+U105)/(U101+U102+U103+U104+U105),0)</f>
        <v>0</v>
      </c>
      <c r="V106" s="36">
        <f t="shared" si="50"/>
        <v>0</v>
      </c>
      <c r="W106" s="34">
        <f t="shared" si="50"/>
        <v>0</v>
      </c>
    </row>
    <row r="107" spans="2:23" x14ac:dyDescent="0.2">
      <c r="B107" s="35" t="s">
        <v>74</v>
      </c>
      <c r="C107" s="108"/>
      <c r="D107" s="261">
        <f>'Baseline NFPC'!$D$94</f>
        <v>0.98884420963398922</v>
      </c>
      <c r="E107" s="108">
        <f t="shared" ref="E107:G107" si="51">IF(E100&lt;&gt;0,(E101+E102+E104)/(E101+E102+E103+E104+E105),1)</f>
        <v>0.99360424724278762</v>
      </c>
      <c r="F107" s="108">
        <f t="shared" si="51"/>
        <v>0.99512736671818314</v>
      </c>
      <c r="G107" s="108">
        <f t="shared" si="51"/>
        <v>0.9959152630101219</v>
      </c>
      <c r="H107" s="108">
        <f t="shared" ref="H107:W107" si="52">IF(H100&lt;&gt;0,(H101+H102+H104)/(H101+H102+H103+H104+H105),1)</f>
        <v>0.99697525000999376</v>
      </c>
      <c r="I107" s="108">
        <f t="shared" si="52"/>
        <v>0.99776630029924862</v>
      </c>
      <c r="J107" s="108">
        <f t="shared" si="52"/>
        <v>0.99835131623481665</v>
      </c>
      <c r="K107" s="108">
        <f t="shared" si="52"/>
        <v>0.99887160751122728</v>
      </c>
      <c r="L107" s="108">
        <f t="shared" si="52"/>
        <v>0.99927780422634283</v>
      </c>
      <c r="M107" s="108">
        <f t="shared" si="52"/>
        <v>0.99953202233335892</v>
      </c>
      <c r="N107" s="108">
        <f t="shared" si="52"/>
        <v>0.99985117354926001</v>
      </c>
      <c r="O107" s="108">
        <f t="shared" si="52"/>
        <v>0.99995924536998027</v>
      </c>
      <c r="P107" s="108">
        <f t="shared" si="52"/>
        <v>0.9999906521453773</v>
      </c>
      <c r="Q107" s="108">
        <f t="shared" si="52"/>
        <v>0.99999789383175075</v>
      </c>
      <c r="R107" s="108">
        <f t="shared" si="52"/>
        <v>0.99999960935790233</v>
      </c>
      <c r="S107" s="108">
        <f t="shared" si="52"/>
        <v>0.99999994115943636</v>
      </c>
      <c r="T107" s="108">
        <f t="shared" si="52"/>
        <v>0.99999999717896071</v>
      </c>
      <c r="U107" s="108">
        <f t="shared" si="52"/>
        <v>1</v>
      </c>
      <c r="V107" s="108">
        <f t="shared" si="52"/>
        <v>1</v>
      </c>
      <c r="W107" s="49">
        <f t="shared" si="52"/>
        <v>1</v>
      </c>
    </row>
    <row r="108" spans="2:23" x14ac:dyDescent="0.2">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2">
      <c r="B109" s="113" t="s">
        <v>132</v>
      </c>
      <c r="C109" s="115">
        <f>'Baseline NFPC'!C96</f>
        <v>1.716024</v>
      </c>
      <c r="D109" s="115">
        <f>'Baseline NFPC'!D96</f>
        <v>1.648296</v>
      </c>
      <c r="E109" s="115">
        <f>'Baseline NFPC'!E96</f>
        <v>1.80772</v>
      </c>
      <c r="F109" s="115">
        <f>'Baseline NFPC'!F96</f>
        <v>1.9077200000000001</v>
      </c>
      <c r="G109" s="115">
        <f>'Baseline NFPC'!G96</f>
        <v>1.9077200000000001</v>
      </c>
      <c r="H109" s="115">
        <f>H111</f>
        <v>2.0510578068871177</v>
      </c>
      <c r="I109" s="115">
        <f t="shared" ref="I109:V109" si="53">I111</f>
        <v>2.1928297708470597</v>
      </c>
      <c r="J109" s="115">
        <f t="shared" si="53"/>
        <v>2.3254135666366342</v>
      </c>
      <c r="K109" s="115">
        <f t="shared" si="53"/>
        <v>2.456688810666209</v>
      </c>
      <c r="L109" s="115">
        <f t="shared" si="53"/>
        <v>2.5695749739605018</v>
      </c>
      <c r="M109" s="115">
        <f t="shared" si="53"/>
        <v>2.6610083125532871</v>
      </c>
      <c r="N109" s="115">
        <f t="shared" si="53"/>
        <v>2.7540713789584186</v>
      </c>
      <c r="O109" s="115">
        <f t="shared" si="53"/>
        <v>2.7790985417613721</v>
      </c>
      <c r="P109" s="115">
        <f t="shared" si="53"/>
        <v>2.7993131071539921</v>
      </c>
      <c r="Q109" s="115">
        <f t="shared" si="53"/>
        <v>2.81589510571595</v>
      </c>
      <c r="R109" s="115">
        <f t="shared" si="53"/>
        <v>2.8320534161572186</v>
      </c>
      <c r="S109" s="115">
        <f t="shared" si="53"/>
        <v>2.8451672602399016</v>
      </c>
      <c r="T109" s="115">
        <f t="shared" si="53"/>
        <v>2.8560049688341924</v>
      </c>
      <c r="U109" s="115">
        <f t="shared" si="53"/>
        <v>2.8593154301133357</v>
      </c>
      <c r="V109" s="115">
        <f t="shared" si="53"/>
        <v>2.8593154311036688</v>
      </c>
      <c r="W109" s="115">
        <f>W111</f>
        <v>2.8593154311036688</v>
      </c>
    </row>
    <row r="110" spans="2:23" x14ac:dyDescent="0.2">
      <c r="B110" s="33" t="s">
        <v>133</v>
      </c>
      <c r="C110" s="34"/>
      <c r="D110" s="34"/>
      <c r="E110" s="266">
        <f>((E36*D100)-(E38*(D103+D105)))/(D101+D102+D104)</f>
        <v>1.789417966678488</v>
      </c>
      <c r="F110" s="266">
        <f>((F36*E100)-(F38*(E103+E105)))/(E101+E102+E104)</f>
        <v>1.8970573164187969</v>
      </c>
      <c r="G110" s="266">
        <f>((G36*F100)-(G38*(F103+F105)))/(F101+F102+F104)</f>
        <v>1.903270777978008</v>
      </c>
      <c r="H110" s="34">
        <f t="shared" ref="H110:W110" si="54">IF(G100&gt;0,(G110*G101+H37*(G104+G102))/(G101+G102+G104),H37)</f>
        <v>2.0479651535739261</v>
      </c>
      <c r="I110" s="34">
        <f t="shared" si="54"/>
        <v>2.1910064597493979</v>
      </c>
      <c r="J110" s="34">
        <f t="shared" si="54"/>
        <v>2.3243902465315935</v>
      </c>
      <c r="K110" s="34">
        <f t="shared" si="54"/>
        <v>2.4561693712007502</v>
      </c>
      <c r="L110" s="34">
        <f t="shared" si="54"/>
        <v>2.5693599170687147</v>
      </c>
      <c r="M110" s="34">
        <f t="shared" si="54"/>
        <v>2.6609449642224177</v>
      </c>
      <c r="N110" s="34">
        <f t="shared" si="54"/>
        <v>2.7540791958565327</v>
      </c>
      <c r="O110" s="34">
        <f t="shared" si="54"/>
        <v>2.7791064320087786</v>
      </c>
      <c r="P110" s="34">
        <f t="shared" si="54"/>
        <v>2.7993175710930251</v>
      </c>
      <c r="Q110" s="34">
        <f t="shared" si="54"/>
        <v>2.815896623953591</v>
      </c>
      <c r="R110" s="34">
        <f t="shared" si="54"/>
        <v>2.8320538687251102</v>
      </c>
      <c r="S110" s="34">
        <f t="shared" si="54"/>
        <v>2.8451673634847969</v>
      </c>
      <c r="T110" s="34">
        <f t="shared" si="54"/>
        <v>2.8560049871593498</v>
      </c>
      <c r="U110" s="34">
        <f t="shared" si="54"/>
        <v>2.8593154311036688</v>
      </c>
      <c r="V110" s="34">
        <f t="shared" si="54"/>
        <v>2.8593154311036688</v>
      </c>
      <c r="W110" s="34">
        <f t="shared" si="54"/>
        <v>2.8593154311036688</v>
      </c>
    </row>
    <row r="111" spans="2:23" x14ac:dyDescent="0.2">
      <c r="B111" s="35" t="s">
        <v>63</v>
      </c>
      <c r="C111" s="49"/>
      <c r="D111" s="49"/>
      <c r="E111" s="49">
        <f t="shared" ref="E111:W111" si="55">(E110*(D101+D102+D104)+E38*(D103+D105))/D100</f>
        <v>1.80772</v>
      </c>
      <c r="F111" s="49">
        <f t="shared" si="55"/>
        <v>1.9077200000000001</v>
      </c>
      <c r="G111" s="49">
        <f t="shared" si="55"/>
        <v>1.9077200000000001</v>
      </c>
      <c r="H111" s="49">
        <f t="shared" si="55"/>
        <v>2.0510578068871177</v>
      </c>
      <c r="I111" s="49">
        <f t="shared" si="55"/>
        <v>2.1928297708470597</v>
      </c>
      <c r="J111" s="49">
        <f t="shared" si="55"/>
        <v>2.3254135666366342</v>
      </c>
      <c r="K111" s="49">
        <f t="shared" si="55"/>
        <v>2.456688810666209</v>
      </c>
      <c r="L111" s="49">
        <f t="shared" si="55"/>
        <v>2.5695749739605018</v>
      </c>
      <c r="M111" s="49">
        <f t="shared" si="55"/>
        <v>2.6610083125532871</v>
      </c>
      <c r="N111" s="49">
        <f t="shared" si="55"/>
        <v>2.7540713789584186</v>
      </c>
      <c r="O111" s="49">
        <f t="shared" si="55"/>
        <v>2.7790985417613721</v>
      </c>
      <c r="P111" s="49">
        <f t="shared" si="55"/>
        <v>2.7993131071539921</v>
      </c>
      <c r="Q111" s="49">
        <f t="shared" si="55"/>
        <v>2.81589510571595</v>
      </c>
      <c r="R111" s="49">
        <f t="shared" si="55"/>
        <v>2.8320534161572186</v>
      </c>
      <c r="S111" s="49">
        <f t="shared" si="55"/>
        <v>2.8451672602399016</v>
      </c>
      <c r="T111" s="49">
        <f t="shared" si="55"/>
        <v>2.8560049688341924</v>
      </c>
      <c r="U111" s="49">
        <f t="shared" si="55"/>
        <v>2.8593154301133357</v>
      </c>
      <c r="V111" s="49">
        <f t="shared" si="55"/>
        <v>2.8593154311036688</v>
      </c>
      <c r="W111" s="49">
        <f t="shared" si="55"/>
        <v>2.8593154311036688</v>
      </c>
    </row>
    <row r="112" spans="2:23" x14ac:dyDescent="0.2">
      <c r="C112" s="38"/>
      <c r="D112" s="38"/>
      <c r="E112" s="38"/>
      <c r="F112" s="38"/>
      <c r="G112" s="34"/>
      <c r="H112" s="34"/>
      <c r="I112" s="34"/>
      <c r="J112" s="34"/>
      <c r="K112" s="34"/>
      <c r="L112" s="34"/>
      <c r="M112" s="34"/>
      <c r="N112" s="34"/>
      <c r="O112" s="34"/>
      <c r="P112" s="34"/>
      <c r="Q112" s="34"/>
      <c r="R112" s="34"/>
      <c r="S112" s="34"/>
      <c r="T112" s="34"/>
      <c r="U112" s="34"/>
      <c r="V112" s="34"/>
      <c r="W112" s="34"/>
    </row>
    <row r="113" spans="2:25" x14ac:dyDescent="0.2">
      <c r="B113" s="113" t="s">
        <v>185</v>
      </c>
      <c r="C113" s="115">
        <f t="shared" ref="C113:W113" si="56">((1+C109/100)/((1+C24/100)*(1+C42/100))-1)*100</f>
        <v>-9.8765561120643941</v>
      </c>
      <c r="D113" s="115">
        <f t="shared" si="56"/>
        <v>-8.7789144920546907</v>
      </c>
      <c r="E113" s="115">
        <f t="shared" si="56"/>
        <v>-5.1265148425786773</v>
      </c>
      <c r="F113" s="115">
        <f t="shared" si="56"/>
        <v>-4.3974442453050262</v>
      </c>
      <c r="G113" s="115">
        <f t="shared" si="56"/>
        <v>-3.3667168756985943</v>
      </c>
      <c r="H113" s="115">
        <f t="shared" si="56"/>
        <v>-2.4818120584936265</v>
      </c>
      <c r="I113" s="115">
        <f t="shared" si="56"/>
        <v>-1.7354991123177177</v>
      </c>
      <c r="J113" s="115">
        <f t="shared" si="56"/>
        <v>-1.6845391065855475</v>
      </c>
      <c r="K113" s="115">
        <f t="shared" si="56"/>
        <v>-1.6414606057340575</v>
      </c>
      <c r="L113" s="115">
        <f t="shared" si="56"/>
        <v>-1.4708110752754244</v>
      </c>
      <c r="M113" s="115">
        <f t="shared" si="56"/>
        <v>-1.3535135825145983</v>
      </c>
      <c r="N113" s="115">
        <f t="shared" si="56"/>
        <v>-1.2604092582650273</v>
      </c>
      <c r="O113" s="115">
        <f t="shared" si="56"/>
        <v>-1.2309244447399115</v>
      </c>
      <c r="P113" s="115">
        <f t="shared" si="56"/>
        <v>-1.2477380033532715</v>
      </c>
      <c r="Q113" s="115">
        <f t="shared" si="56"/>
        <v>-1.2679977801932085</v>
      </c>
      <c r="R113" s="115">
        <f t="shared" si="56"/>
        <v>-1.2886158270162706</v>
      </c>
      <c r="S113" s="115">
        <f t="shared" si="56"/>
        <v>-1.3338736096470627</v>
      </c>
      <c r="T113" s="115">
        <f t="shared" si="56"/>
        <v>-1.3494998625261156</v>
      </c>
      <c r="U113" s="115">
        <f t="shared" si="56"/>
        <v>-1.3833189943027513</v>
      </c>
      <c r="V113" s="115">
        <f t="shared" si="56"/>
        <v>-1.4243834917379239</v>
      </c>
      <c r="W113" s="115">
        <f t="shared" si="56"/>
        <v>-1.3661540354697355</v>
      </c>
    </row>
    <row r="114" spans="2:25" x14ac:dyDescent="0.2">
      <c r="F114" s="34"/>
      <c r="G114" s="34"/>
      <c r="H114" s="34"/>
      <c r="I114" s="34"/>
      <c r="J114" s="34"/>
      <c r="K114" s="34"/>
      <c r="L114" s="34"/>
      <c r="M114" s="34"/>
      <c r="N114" s="34"/>
      <c r="O114" s="34"/>
      <c r="P114" s="34"/>
      <c r="Q114" s="34"/>
      <c r="R114" s="34"/>
      <c r="S114" s="34"/>
      <c r="T114" s="34"/>
      <c r="U114" s="34"/>
      <c r="V114" s="34"/>
      <c r="W114" s="34"/>
    </row>
    <row r="115" spans="2:25" x14ac:dyDescent="0.2">
      <c r="F115" s="34"/>
      <c r="G115" s="34"/>
      <c r="H115" s="253"/>
      <c r="I115" s="253"/>
      <c r="J115" s="253"/>
      <c r="K115" s="253"/>
      <c r="L115" s="253"/>
      <c r="M115" s="253"/>
      <c r="N115" s="253"/>
      <c r="O115" s="253"/>
      <c r="P115" s="253"/>
      <c r="Q115" s="253"/>
      <c r="R115" s="253"/>
      <c r="S115" s="253"/>
      <c r="T115" s="253"/>
      <c r="U115" s="34"/>
      <c r="V115" s="34"/>
      <c r="W115" s="34"/>
    </row>
    <row r="116" spans="2:25" x14ac:dyDescent="0.2">
      <c r="T116" s="62"/>
      <c r="U116" s="62"/>
      <c r="V116" s="62"/>
      <c r="W116" s="62"/>
      <c r="X116" s="62"/>
      <c r="Y116" s="62"/>
    </row>
    <row r="117" spans="2:25" x14ac:dyDescent="0.2">
      <c r="T117" s="62"/>
      <c r="U117" s="116"/>
      <c r="V117" s="116"/>
      <c r="W117" s="116"/>
      <c r="X117" s="116"/>
      <c r="Y117" s="62"/>
    </row>
    <row r="118" spans="2:25" x14ac:dyDescent="0.2">
      <c r="H118" s="121"/>
      <c r="I118" s="121"/>
      <c r="J118" s="121"/>
      <c r="K118" s="121"/>
      <c r="L118" s="121"/>
      <c r="M118" s="121"/>
      <c r="N118" s="121"/>
      <c r="O118" s="121"/>
      <c r="P118" s="121"/>
      <c r="Q118" s="121"/>
      <c r="R118" s="121"/>
      <c r="S118" s="121"/>
      <c r="T118" s="121"/>
      <c r="U118" s="121"/>
      <c r="V118" s="121"/>
      <c r="W118" s="121"/>
    </row>
    <row r="119" spans="2:25"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2:25" x14ac:dyDescent="0.2">
      <c r="E120" s="34"/>
      <c r="F120" s="34"/>
      <c r="G120" s="121"/>
      <c r="H120" s="121"/>
      <c r="I120" s="121"/>
      <c r="J120" s="121"/>
      <c r="K120" s="121"/>
      <c r="L120" s="121"/>
      <c r="M120" s="121"/>
      <c r="N120" s="121"/>
      <c r="O120" s="121"/>
      <c r="P120" s="121"/>
      <c r="Q120" s="121"/>
      <c r="R120" s="121"/>
      <c r="S120" s="121"/>
      <c r="T120" s="121"/>
      <c r="U120" s="121"/>
      <c r="V120" s="121"/>
      <c r="W120" s="121"/>
    </row>
    <row r="123" spans="2:25"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c r="X124" s="53"/>
    </row>
    <row r="125" spans="2:25" x14ac:dyDescent="0.2">
      <c r="G125" s="53"/>
      <c r="H125" s="53"/>
      <c r="I125" s="53"/>
      <c r="J125" s="53"/>
      <c r="K125" s="53"/>
      <c r="L125" s="53"/>
      <c r="M125" s="53"/>
      <c r="N125" s="53"/>
      <c r="O125" s="53"/>
      <c r="P125" s="53"/>
      <c r="Q125" s="53"/>
      <c r="R125" s="53"/>
      <c r="S125" s="53"/>
      <c r="T125" s="53"/>
      <c r="U125" s="53"/>
      <c r="V125" s="53"/>
      <c r="W125" s="53"/>
      <c r="X125" s="53"/>
    </row>
    <row r="126" spans="2:25" x14ac:dyDescent="0.2">
      <c r="E126" s="34"/>
      <c r="F126" s="34"/>
      <c r="G126" s="121"/>
      <c r="H126" s="121"/>
      <c r="I126" s="121"/>
      <c r="J126" s="121"/>
      <c r="K126" s="121"/>
      <c r="L126" s="121"/>
      <c r="M126" s="121"/>
      <c r="N126" s="121"/>
      <c r="O126" s="121"/>
      <c r="P126" s="121"/>
      <c r="Q126" s="121"/>
      <c r="R126" s="121"/>
      <c r="S126" s="121"/>
      <c r="T126" s="121"/>
      <c r="U126" s="121"/>
      <c r="V126" s="121"/>
      <c r="W126" s="121"/>
      <c r="X126" s="53"/>
    </row>
    <row r="127" spans="2:25" x14ac:dyDescent="0.2">
      <c r="E127" s="34"/>
      <c r="F127" s="34"/>
      <c r="G127" s="121"/>
      <c r="H127" s="121"/>
      <c r="I127" s="121"/>
      <c r="J127" s="121"/>
      <c r="K127" s="121"/>
      <c r="L127" s="121"/>
      <c r="M127" s="121"/>
      <c r="N127" s="121"/>
      <c r="O127" s="121"/>
      <c r="P127" s="121"/>
      <c r="Q127" s="121"/>
      <c r="R127" s="121"/>
      <c r="S127" s="121"/>
      <c r="T127" s="121"/>
      <c r="U127" s="121"/>
      <c r="V127" s="121"/>
      <c r="W127" s="121"/>
      <c r="X127" s="53"/>
    </row>
    <row r="128" spans="2:25" x14ac:dyDescent="0.2">
      <c r="G128" s="53"/>
      <c r="H128" s="53"/>
      <c r="I128" s="53"/>
      <c r="J128" s="53"/>
      <c r="K128" s="53"/>
      <c r="L128" s="53"/>
      <c r="M128" s="53"/>
      <c r="N128" s="53"/>
      <c r="O128" s="53"/>
      <c r="P128" s="53"/>
      <c r="Q128" s="53"/>
      <c r="R128" s="53"/>
      <c r="S128" s="53"/>
      <c r="T128" s="53"/>
      <c r="U128" s="53"/>
      <c r="V128" s="53"/>
      <c r="W128" s="53"/>
      <c r="X128" s="53"/>
    </row>
    <row r="129" spans="5:24" x14ac:dyDescent="0.2">
      <c r="E129" s="34"/>
      <c r="F129" s="34"/>
      <c r="G129" s="121"/>
      <c r="H129" s="121"/>
      <c r="I129" s="121"/>
      <c r="J129" s="121"/>
      <c r="K129" s="121"/>
      <c r="L129" s="121"/>
      <c r="M129" s="121"/>
      <c r="N129" s="121"/>
      <c r="O129" s="121"/>
      <c r="P129" s="121"/>
      <c r="Q129" s="121"/>
      <c r="R129" s="121"/>
      <c r="S129" s="121"/>
      <c r="T129" s="121"/>
      <c r="U129" s="121"/>
      <c r="V129" s="121"/>
      <c r="W129" s="121"/>
      <c r="X129" s="121"/>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121"/>
    </row>
    <row r="131" spans="5:24" x14ac:dyDescent="0.2">
      <c r="G131" s="121"/>
      <c r="H131" s="121"/>
      <c r="I131" s="121"/>
      <c r="J131" s="121"/>
      <c r="K131" s="121"/>
      <c r="L131" s="121"/>
      <c r="M131" s="121"/>
      <c r="N131" s="121"/>
      <c r="O131" s="121"/>
      <c r="P131" s="121"/>
      <c r="Q131" s="121"/>
      <c r="R131" s="121"/>
      <c r="S131" s="121"/>
      <c r="T131" s="121"/>
      <c r="U131" s="121"/>
      <c r="V131" s="121"/>
      <c r="W131" s="121"/>
      <c r="X131" s="121"/>
    </row>
    <row r="132" spans="5:24" x14ac:dyDescent="0.2">
      <c r="E132" s="34"/>
      <c r="F132" s="34"/>
      <c r="G132" s="121"/>
      <c r="H132" s="121"/>
      <c r="I132" s="121"/>
      <c r="J132" s="121"/>
      <c r="K132" s="121"/>
      <c r="L132" s="121"/>
      <c r="M132" s="121"/>
      <c r="N132" s="121"/>
      <c r="O132" s="121"/>
      <c r="P132" s="121"/>
      <c r="Q132" s="121"/>
      <c r="R132" s="121"/>
      <c r="S132" s="121"/>
      <c r="T132" s="121"/>
      <c r="U132" s="121"/>
      <c r="V132" s="121"/>
      <c r="W132" s="121"/>
      <c r="X132" s="121"/>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sheetData>
  <conditionalFormatting sqref="G12:M12">
    <cfRule type="expression" dxfId="37" priority="4">
      <formula>AND(G10&gt;$C$5,G10&lt;=$C$6)</formula>
    </cfRule>
  </conditionalFormatting>
  <conditionalFormatting sqref="U10:W44 U46:W53 U94:W150 U55:W92">
    <cfRule type="expression" dxfId="36"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CY</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-1.437066</v>
      </c>
      <c r="D12" s="2">
        <f>'Input data'!D13</f>
        <v>2.087558</v>
      </c>
      <c r="E12" s="2">
        <f>'Input data'!E13</f>
        <v>3.2270470000000002</v>
      </c>
      <c r="F12" s="2">
        <f>'Input data'!F13</f>
        <v>3.482405</v>
      </c>
      <c r="G12" s="3">
        <f>IF(G10&lt;=$C$6,F12+'Criteria results'!$F$6,F12)</f>
        <v>3.482405</v>
      </c>
      <c r="H12" s="3">
        <f>IF(H10&lt;=$C$6,G12+'Criteria results'!$F$6,G12)</f>
        <v>3.482405</v>
      </c>
      <c r="I12" s="3">
        <f>IF(I10&lt;=$C$6,H12+'Criteria results'!$F$6,H12)</f>
        <v>3.482405</v>
      </c>
      <c r="J12" s="3">
        <f>IF(J10&lt;=$C$6,I12+'Criteria results'!$F$6,I12)</f>
        <v>3.482405</v>
      </c>
      <c r="K12" s="119">
        <f>IF(K10&lt;=$C$6,J12+'Criteria results'!$F$6,J12)</f>
        <v>3.482405</v>
      </c>
      <c r="L12" s="119">
        <f>IF(L10&lt;=$C$6,K12+'Criteria results'!$F$6,K12)</f>
        <v>3.482405</v>
      </c>
      <c r="M12" s="119">
        <f>IF(M10&lt;=$C$6,L12+'Criteria results'!$F$6,L12)</f>
        <v>3.482405</v>
      </c>
      <c r="N12" s="119">
        <f>M12</f>
        <v>3.482405</v>
      </c>
      <c r="O12" s="119">
        <f t="shared" ref="O12:W12" si="0">N12</f>
        <v>3.482405</v>
      </c>
      <c r="P12" s="119">
        <f t="shared" si="0"/>
        <v>3.482405</v>
      </c>
      <c r="Q12" s="119">
        <f t="shared" si="0"/>
        <v>3.482405</v>
      </c>
      <c r="R12" s="119">
        <f t="shared" si="0"/>
        <v>3.482405</v>
      </c>
      <c r="S12" s="119">
        <f t="shared" si="0"/>
        <v>3.482405</v>
      </c>
      <c r="T12" s="119">
        <f t="shared" si="0"/>
        <v>3.482405</v>
      </c>
      <c r="U12" s="119">
        <f t="shared" si="0"/>
        <v>3.482405</v>
      </c>
      <c r="V12" s="119">
        <f t="shared" si="0"/>
        <v>3.482405</v>
      </c>
      <c r="W12" s="119">
        <f t="shared" si="0"/>
        <v>3.482405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191</v>
      </c>
      <c r="C13" s="29"/>
      <c r="D13" s="29"/>
      <c r="E13" s="29"/>
      <c r="F13" s="263"/>
      <c r="G13" s="263">
        <f>G12-F12</f>
        <v>0</v>
      </c>
      <c r="H13" s="263">
        <f t="shared" ref="H13:W13" si="1">H12-G12</f>
        <v>0</v>
      </c>
      <c r="I13" s="263">
        <f t="shared" si="1"/>
        <v>0</v>
      </c>
      <c r="J13" s="263">
        <f t="shared" si="1"/>
        <v>0</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8.0633499999999997E-2</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-4.4074220000000004</v>
      </c>
      <c r="D15" s="2">
        <f>'Input data'!D15</f>
        <v>-0.74485959999999996</v>
      </c>
      <c r="E15" s="2">
        <f>'Input data'!E15</f>
        <v>0.60125580000000001</v>
      </c>
      <c r="F15" s="2">
        <f>'Input data'!F15</f>
        <v>0.99131420000000003</v>
      </c>
      <c r="G15" s="2">
        <f>'Input data'!G15</f>
        <v>1.300675</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20.90879</v>
      </c>
      <c r="E18" s="101">
        <f>'Input data'!E20</f>
        <v>21.00188</v>
      </c>
      <c r="F18" s="101">
        <f>'Input data'!F20</f>
        <v>21.01275</v>
      </c>
      <c r="G18" s="101">
        <f>'Input data'!G20</f>
        <v>21.349210000000006</v>
      </c>
      <c r="H18" s="101">
        <f>'Input data'!H20</f>
        <v>21.616050000000001</v>
      </c>
      <c r="I18" s="101">
        <f>'Input data'!I20</f>
        <v>21.792829999999999</v>
      </c>
      <c r="J18" s="101">
        <f>'Input data'!J20</f>
        <v>21.931189999999997</v>
      </c>
      <c r="K18" s="101">
        <f>'Input data'!K20</f>
        <v>21.810479999999998</v>
      </c>
      <c r="L18" s="101">
        <f>'Input data'!L20</f>
        <v>22.04786</v>
      </c>
      <c r="M18" s="101">
        <f>'Input data'!M20</f>
        <v>22.285779999999999</v>
      </c>
      <c r="N18" s="101">
        <f>'Input data'!N20</f>
        <v>22.47654</v>
      </c>
      <c r="O18" s="101">
        <f>'Input data'!O20</f>
        <v>22.706669999999999</v>
      </c>
      <c r="P18" s="101">
        <f>'Input data'!P20</f>
        <v>22.857150000000004</v>
      </c>
      <c r="Q18" s="101">
        <f>'Input data'!Q20</f>
        <v>23.067840000000004</v>
      </c>
      <c r="R18" s="101">
        <f>'Input data'!R20</f>
        <v>23.210700000000003</v>
      </c>
      <c r="S18" s="101">
        <f>'Input data'!S20</f>
        <v>23.320980000000006</v>
      </c>
      <c r="T18" s="101">
        <f>'Input data'!T20</f>
        <v>23.423589999999997</v>
      </c>
      <c r="U18" s="101">
        <f>'Input data'!U20</f>
        <v>23.21922</v>
      </c>
      <c r="V18" s="101">
        <f>'Input data'!V20</f>
        <v>23.402750000000005</v>
      </c>
      <c r="W18" s="101">
        <f>'Input data'!W20</f>
        <v>23.416050000000002</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0.43526049999999999</v>
      </c>
      <c r="D19" s="101">
        <f>'Input data'!D26</f>
        <v>0.41113149999999998</v>
      </c>
      <c r="E19" s="101">
        <f>'Input data'!E26</f>
        <v>0.4049838</v>
      </c>
      <c r="F19" s="101">
        <f>'Input data'!F26</f>
        <v>0.39883610000000003</v>
      </c>
      <c r="G19" s="101">
        <f>'Input data'!G26</f>
        <v>0.3926885</v>
      </c>
      <c r="H19" s="101">
        <f>'Input data'!H26</f>
        <v>0.38654080000000002</v>
      </c>
      <c r="I19" s="101">
        <f>'Input data'!I26</f>
        <v>0.38039309999999998</v>
      </c>
      <c r="J19" s="101">
        <f>'Input data'!J26</f>
        <v>0.37424540000000001</v>
      </c>
      <c r="K19" s="101">
        <f>'Input data'!K26</f>
        <v>0.36809770000000003</v>
      </c>
      <c r="L19" s="101">
        <f>'Input data'!L26</f>
        <v>0.36194999999999999</v>
      </c>
      <c r="M19" s="101">
        <f>'Input data'!M26</f>
        <v>0.35580240000000002</v>
      </c>
      <c r="N19" s="101">
        <f>'Input data'!N26</f>
        <v>0.34965469999999998</v>
      </c>
      <c r="O19" s="101">
        <f>'Input data'!O26</f>
        <v>0.34350700000000001</v>
      </c>
      <c r="P19" s="101">
        <f>'Input data'!P26</f>
        <v>0.33735929999999997</v>
      </c>
      <c r="Q19" s="101">
        <f>'Input data'!Q26</f>
        <v>0.33121159999999999</v>
      </c>
      <c r="R19" s="101">
        <f>'Input data'!R26</f>
        <v>0.32506390000000002</v>
      </c>
      <c r="S19" s="101">
        <f>'Input data'!S26</f>
        <v>0.31891629999999999</v>
      </c>
      <c r="T19" s="101">
        <f>'Input data'!T26</f>
        <v>0.31276860000000001</v>
      </c>
      <c r="U19" s="101">
        <f>'Input data'!U26</f>
        <v>0.30662089999999997</v>
      </c>
      <c r="V19" s="101">
        <f>'Input data'!V26</f>
        <v>0.3004732</v>
      </c>
      <c r="W19" s="101">
        <f>'Input data'!W26</f>
        <v>0.29432550000000002</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23.926369999999999</v>
      </c>
      <c r="D23" s="100">
        <f>'Baseline NFPC'!D22</f>
        <v>25.136550003195801</v>
      </c>
      <c r="E23" s="100">
        <f>'Baseline NFPC'!E22</f>
        <v>25.755220072397957</v>
      </c>
      <c r="F23" s="100">
        <f>'Baseline NFPC'!F22</f>
        <v>26.470858995717016</v>
      </c>
      <c r="G23" s="34">
        <f>IF(AND(G50&gt;1,F50&gt;1),IF(AND(G50&gt;0,F50&gt;0),G27*(G51/100+1),0)+IF(G50&gt;0,F23*(1+G52/100),0)-F23*(1+'Input data'!G30/100),IF(G50=1,G27,F23*(1+G52/100)))</f>
        <v>27.268041090968172</v>
      </c>
      <c r="H23" s="34">
        <f>IF(AND(H50&gt;1,G50&gt;1),IF(AND(H50&gt;0,G50&gt;0),H27*(H51/100+1),0)+IF(H50&gt;0,G23*(1+H52/100),0)-G23*(1+'Input data'!H30/100),IF(H50=1,H27,G23*(1+H52/100)))</f>
        <v>27.867541790332417</v>
      </c>
      <c r="I23" s="34">
        <f>IF(AND(I50&gt;1,H50&gt;1),IF(AND(I50&gt;0,H50&gt;0),I27*(I51/100+1),0)+IF(I50&gt;0,H23*(1+I52/100),0)-H23*(1+'Input data'!I30/100),IF(I50=1,I27,H23*(1+I52/100)))</f>
        <v>28.297141405037568</v>
      </c>
      <c r="J23" s="34">
        <f>IF(AND(J50&gt;1,I50&gt;1),IF(AND(J50&gt;0,I50&gt;0),J27*(J51/100+1),0)+IF(J50&gt;0,I23*(1+J52/100),0)-I23*(1+'Input data'!J30/100),IF(J50=1,J27,I23*(1+J52/100)))</f>
        <v>28.749593171076548</v>
      </c>
      <c r="K23" s="34">
        <f>IF(AND(K50&gt;1,J50&gt;1),IF(AND(K50&gt;0,J50&gt;0),K27*(K51/100+1),0)+IF(K50&gt;0,J23*(1+K52/100),0)-J23*(1+'Input data'!K30/100),IF(K50=1,K27,J23*(1+K52/100)))</f>
        <v>29.22770638040577</v>
      </c>
      <c r="L23" s="34">
        <f>IF(AND(L50&gt;1,K50&gt;1),IF(AND(L50&gt;0,K50&gt;0),L27*(L51/100+1),0)+IF(L50&gt;0,K23*(1+L52/100),0)-K23*(1+'Input data'!L30/100),IF(L50=1,L27,K23*(1+L52/100)))</f>
        <v>29.688655368622893</v>
      </c>
      <c r="M23" s="34">
        <f>IF(AND(M50&gt;1,L50&gt;1),IF(AND(M50&gt;0,L50&gt;0),M27*(M51/100+1),0)+IF(M50&gt;0,L23*(1+M52/100),0)-L23*(1+'Input data'!M30/100),IF(M50=1,M27,L23*(1+M52/100)))</f>
        <v>30.141437051649756</v>
      </c>
      <c r="N23" s="34">
        <f>IF(AND(N50&gt;1,M50&gt;1),IF(AND(N50&gt;0,M50&gt;0),N27*(N51/100+1),0)+IF(N50&gt;0,M23*(1+N52/100),0)-M23*(1+'Input data'!N30/100),IF(N50=1,N27,M23*(1+N52/100)))</f>
        <v>30.593459442096599</v>
      </c>
      <c r="O23" s="34">
        <f>IF(AND(O50&gt;1,N50&gt;1),IF(AND(O50&gt;0,N50&gt;0),O27*(O51/100+1),0)+IF(O50&gt;0,N23*(1+O52/100),0)-N23*(1+'Input data'!O30/100),IF(O50=1,O27,N23*(1+O52/100)))</f>
        <v>31.043933141586344</v>
      </c>
      <c r="P23" s="34">
        <f>IF(AND(P50&gt;1,O50&gt;1),IF(AND(P50&gt;0,O50&gt;0),P27*(P51/100+1),0)+IF(P50&gt;0,O23*(1+P52/100),0)-O23*(1+'Input data'!P30/100),IF(P50=1,P27,O23*(1+P52/100)))</f>
        <v>31.52105262750802</v>
      </c>
      <c r="Q23" s="34">
        <f>IF(AND(Q50&gt;1,P50&gt;1),IF(AND(Q50&gt;0,P50&gt;0),Q27*(Q51/100+1),0)+IF(Q50&gt;0,P23*(1+Q52/100),0)-P23*(1+'Input data'!Q30/100),IF(Q50=1,Q27,P23*(1+Q52/100)))</f>
        <v>32.025826666548092</v>
      </c>
      <c r="R23" s="34">
        <f>IF(AND(R50&gt;1,Q50&gt;1),IF(AND(R50&gt;0,Q50&gt;0),R27*(R51/100+1),0)+IF(R50&gt;0,Q23*(1+R52/100),0)-Q23*(1+'Input data'!R30/100),IF(R50=1,R27,Q23*(1+R52/100)))</f>
        <v>32.559331141880648</v>
      </c>
      <c r="S23" s="34">
        <f>IF(AND(S50&gt;1,R50&gt;1),IF(AND(S50&gt;0,R50&gt;0),S27*(S51/100+1),0)+IF(S50&gt;0,R23*(1+S52/100),0)-R23*(1+'Input data'!S30/100),IF(S50=1,S27,R23*(1+S52/100)))</f>
        <v>33.130021330336191</v>
      </c>
      <c r="T23" s="34">
        <f>IF(AND(T50&gt;1,S50&gt;1),IF(AND(T50&gt;0,S50&gt;0),T27*(T51/100+1),0)+IF(T50&gt;0,S23*(1+T52/100),0)-S23*(1+'Input data'!T30/100),IF(T50=1,T27,S23*(1+T52/100)))</f>
        <v>33.728661600362997</v>
      </c>
      <c r="U23" s="34">
        <f>IF(AND(U50&gt;1,T50&gt;1),IF(AND(U50&gt;0,T50&gt;0),U27*(U51/100+1),0)+IF(U50&gt;0,T23*(1+U52/100),0)-T23*(1+'Input data'!U30/100),IF(U50=1,U27,T23*(1+U52/100)))</f>
        <v>34.360226741390399</v>
      </c>
      <c r="V23" s="34">
        <f>IF(AND(V50&gt;1,U50&gt;1),IF(AND(V50&gt;0,U50&gt;0),V27*(V51/100+1),0)+IF(V50&gt;0,U23*(1+V52/100),0)-U23*(1+'Input data'!V30/100),IF(V50=1,V27,U23*(1+V52/100)))</f>
        <v>35.027607830604296</v>
      </c>
      <c r="W23" s="34">
        <f>IF(AND(W50&gt;1,V50&gt;1),IF(AND(W50&gt;0,V50&gt;0),W27*(W51/100+1),0)+IF(W50&gt;0,V23*(1+W52/100),0)-V23*(1+'Input data'!W30/100),IF(W50=1,W27,V23*(1+W52/100)))</f>
        <v>35.696461403234004</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9.9113959999999999</v>
      </c>
      <c r="D24" s="100">
        <f>'Baseline NFPC'!D23</f>
        <v>5.0579340000000004</v>
      </c>
      <c r="E24" s="100">
        <f>'Baseline NFPC'!E23</f>
        <v>2.4612370000000001</v>
      </c>
      <c r="F24" s="100">
        <f>'Baseline NFPC'!F23</f>
        <v>2.7786170000000001</v>
      </c>
      <c r="G24" s="34">
        <f t="shared" ref="G24:S24" si="2">100*(G23/F23-1)</f>
        <v>3.0115459999999983</v>
      </c>
      <c r="H24" s="34">
        <f t="shared" si="2"/>
        <v>2.1985469999999951</v>
      </c>
      <c r="I24" s="34">
        <f t="shared" si="2"/>
        <v>1.541576999999994</v>
      </c>
      <c r="J24" s="34">
        <f t="shared" si="2"/>
        <v>1.5989309999999923</v>
      </c>
      <c r="K24" s="34">
        <f t="shared" si="2"/>
        <v>1.6630259999999897</v>
      </c>
      <c r="L24" s="34">
        <f t="shared" si="2"/>
        <v>1.5770960000000001</v>
      </c>
      <c r="M24" s="34">
        <f t="shared" si="2"/>
        <v>1.5250999999999904</v>
      </c>
      <c r="N24" s="34">
        <f t="shared" si="2"/>
        <v>1.4996709999999913</v>
      </c>
      <c r="O24" s="34">
        <f t="shared" si="2"/>
        <v>1.4724509999999968</v>
      </c>
      <c r="P24" s="34">
        <f t="shared" si="2"/>
        <v>1.5369170000000043</v>
      </c>
      <c r="Q24" s="34">
        <f t="shared" si="2"/>
        <v>1.6013870000000097</v>
      </c>
      <c r="R24" s="34">
        <f t="shared" si="2"/>
        <v>1.6658569999999928</v>
      </c>
      <c r="S24" s="34">
        <f t="shared" si="2"/>
        <v>1.7527700000000035</v>
      </c>
      <c r="T24" s="34">
        <f>100*(T23/S23-1)</f>
        <v>1.8069420000000003</v>
      </c>
      <c r="U24" s="34">
        <f t="shared" ref="U24:W24" si="3">100*(U23/T23-1)</f>
        <v>1.8724879999999944</v>
      </c>
      <c r="V24" s="34">
        <f t="shared" si="3"/>
        <v>1.9423069999999987</v>
      </c>
      <c r="W24" s="34">
        <f t="shared" si="3"/>
        <v>1.9095040000000063</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23.334579999999999</v>
      </c>
      <c r="D27" s="100">
        <f>+C27*(1+'Input data'!D33/100)</f>
        <v>24.1267537557842</v>
      </c>
      <c r="E27" s="100">
        <f>+D27*(1+'Input data'!E33/100)</f>
        <v>25.109058128758399</v>
      </c>
      <c r="F27" s="100">
        <f>+E27*(1+'Input data'!F33/100)</f>
        <v>26.049688893656899</v>
      </c>
      <c r="G27" s="34">
        <f>+F27*(1+'Input data'!G33/100)</f>
        <v>26.971436034910944</v>
      </c>
      <c r="H27" s="34">
        <f>+G27*(1+'Input data'!H33/100)</f>
        <v>27.664722233612871</v>
      </c>
      <c r="I27" s="34">
        <f>+H27*(1+'Input data'!I33/100)</f>
        <v>28.228160225339305</v>
      </c>
      <c r="J27" s="34">
        <f>+I27*(1+'Input data'!J33/100)</f>
        <v>28.749596164372218</v>
      </c>
      <c r="K27" s="34">
        <f>+J27*(1+'Input data'!K33/100)</f>
        <v>29.227709423480729</v>
      </c>
      <c r="L27" s="34">
        <f>+K27*(1+'Input data'!L33/100)</f>
        <v>29.688657875135874</v>
      </c>
      <c r="M27" s="34">
        <f>+L27*(1+'Input data'!M33/100)</f>
        <v>30.141439596389567</v>
      </c>
      <c r="N27" s="34">
        <f>+M27*(1+'Input data'!N33/100)</f>
        <v>30.593462627827932</v>
      </c>
      <c r="O27" s="34">
        <f>+N27*(1+'Input data'!O33/100)</f>
        <v>31.04393576235676</v>
      </c>
      <c r="P27" s="34">
        <f>+O27*(1+'Input data'!P33/100)</f>
        <v>31.521055909436214</v>
      </c>
      <c r="Q27" s="34">
        <f>+P27*(1+'Input data'!Q33/100)</f>
        <v>32.025830946664328</v>
      </c>
      <c r="R27" s="34">
        <f>+Q27*(1+'Input data'!R33/100)</f>
        <v>32.559336454072429</v>
      </c>
      <c r="S27" s="34">
        <f>+R27*(1+'Input data'!S33/100)</f>
        <v>33.130027712418574</v>
      </c>
      <c r="T27" s="34">
        <f>+S27*(1+'Input data'!T33/100)</f>
        <v>33.728667766465627</v>
      </c>
      <c r="U27" s="34">
        <f>+T27*(1+'Input data'!U33/100)</f>
        <v>34.360231673805849</v>
      </c>
      <c r="V27" s="34">
        <f>+U27*(1+'Input data'!V33/100)</f>
        <v>35.027612858822394</v>
      </c>
      <c r="W27" s="34">
        <f>+V27*(1+'Input data'!W33/100)</f>
        <v>35.696466877742253</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2.5361073565498105</v>
      </c>
      <c r="D30" s="100">
        <f t="shared" ref="D30:W30" si="4">100*(D23/D27-1)</f>
        <v>4.1853796728435144</v>
      </c>
      <c r="E30" s="100">
        <f t="shared" si="4"/>
        <v>2.5734216724739856</v>
      </c>
      <c r="F30" s="100">
        <f t="shared" si="4"/>
        <v>1.6167951324849383</v>
      </c>
      <c r="G30" s="34">
        <f t="shared" si="4"/>
        <v>1.0997006450576441</v>
      </c>
      <c r="H30" s="34">
        <f t="shared" si="4"/>
        <v>0.73313426032928231</v>
      </c>
      <c r="I30" s="34">
        <f t="shared" si="4"/>
        <v>0.2443700869897425</v>
      </c>
      <c r="J30" s="34">
        <f t="shared" si="4"/>
        <v>-1.0411609441263181E-5</v>
      </c>
      <c r="K30" s="34">
        <f t="shared" si="4"/>
        <v>-1.0411609452365411E-5</v>
      </c>
      <c r="L30" s="34">
        <f t="shared" si="4"/>
        <v>-8.4426618141009158E-6</v>
      </c>
      <c r="M30" s="34">
        <f>100*(M23/M27-1)</f>
        <v>-8.4426618141009158E-6</v>
      </c>
      <c r="N30" s="34">
        <f t="shared" si="4"/>
        <v>-1.0413111362073124E-5</v>
      </c>
      <c r="O30" s="34">
        <f t="shared" si="4"/>
        <v>-8.4421332258166615E-6</v>
      </c>
      <c r="P30" s="34">
        <f t="shared" si="4"/>
        <v>-1.0411859940884227E-5</v>
      </c>
      <c r="Q30" s="34">
        <f t="shared" si="4"/>
        <v>-1.336457512435274E-5</v>
      </c>
      <c r="R30" s="34">
        <f t="shared" si="4"/>
        <v>-1.631541781677015E-5</v>
      </c>
      <c r="S30" s="34">
        <f t="shared" si="4"/>
        <v>-1.9263739947650294E-5</v>
      </c>
      <c r="T30" s="34">
        <f t="shared" si="4"/>
        <v>-1.8281488822768921E-5</v>
      </c>
      <c r="U30" s="34">
        <f t="shared" si="4"/>
        <v>-1.435501220115043E-5</v>
      </c>
      <c r="V30" s="34">
        <f t="shared" si="4"/>
        <v>-1.435501220115043E-5</v>
      </c>
      <c r="W30" s="34">
        <f t="shared" si="4"/>
        <v>-1.5336274783450676E-5</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100*((1+C24/100)*(1+C42/100)-1)</f>
        <v>12.863001691856368</v>
      </c>
      <c r="D33" s="2">
        <f t="shared" si="5"/>
        <v>11.430702050949048</v>
      </c>
      <c r="E33" s="2">
        <f t="shared" si="5"/>
        <v>7.3089281278882812</v>
      </c>
      <c r="F33" s="2">
        <f>100*((1+F24/100)*(1+F42/100)-1)</f>
        <v>6.5951837746716091</v>
      </c>
      <c r="G33" s="1">
        <f>100*((1+G24/100)*(1+G42/100)-1)</f>
        <v>5.4581989819325161</v>
      </c>
      <c r="H33" s="1">
        <f t="shared" si="5"/>
        <v>4.6482302030670164</v>
      </c>
      <c r="I33" s="1">
        <f t="shared" si="5"/>
        <v>3.9977090889159461</v>
      </c>
      <c r="J33" s="1">
        <f t="shared" si="5"/>
        <v>4.0786592838835789</v>
      </c>
      <c r="K33" s="1">
        <f t="shared" si="5"/>
        <v>4.1665415546412454</v>
      </c>
      <c r="L33" s="1">
        <f t="shared" si="5"/>
        <v>4.1006995930137569</v>
      </c>
      <c r="M33" s="1">
        <f t="shared" si="5"/>
        <v>4.0696045453437524</v>
      </c>
      <c r="N33" s="1">
        <f t="shared" si="5"/>
        <v>4.0657254167923318</v>
      </c>
      <c r="O33" s="1">
        <f t="shared" si="5"/>
        <v>4.0599985005000061</v>
      </c>
      <c r="P33" s="1">
        <f t="shared" si="5"/>
        <v>4.0981857313250103</v>
      </c>
      <c r="Q33" s="1">
        <f t="shared" si="5"/>
        <v>4.136341605650018</v>
      </c>
      <c r="R33" s="1">
        <f t="shared" si="5"/>
        <v>4.1744620214750006</v>
      </c>
      <c r="S33" s="1">
        <f t="shared" si="5"/>
        <v>4.2355375879999935</v>
      </c>
      <c r="T33" s="1">
        <f t="shared" si="5"/>
        <v>4.2630344757500049</v>
      </c>
      <c r="U33" s="1">
        <f>100*((1+U24/100)*(1+U42/100)-1)</f>
        <v>4.3021468387999917</v>
      </c>
      <c r="V33" s="1">
        <f t="shared" si="5"/>
        <v>4.3455968875249829</v>
      </c>
      <c r="W33" s="1">
        <f t="shared" si="5"/>
        <v>4.2839954432000171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1.716024</v>
      </c>
      <c r="D36" s="100">
        <f>'Input data'!D37</f>
        <v>1.648296</v>
      </c>
      <c r="E36" s="100">
        <f>'Input data'!E37</f>
        <v>1.80772</v>
      </c>
      <c r="F36" s="100">
        <f>'Input data'!F37</f>
        <v>1.9077200000000001</v>
      </c>
      <c r="G36" s="100">
        <f>'Input data'!G37</f>
        <v>1.9077200000000001</v>
      </c>
      <c r="H36" s="34">
        <f t="shared" ref="H36:W36" si="6">H101</f>
        <v>2.0510578068871177</v>
      </c>
      <c r="I36" s="34">
        <f t="shared" si="6"/>
        <v>2.1928297708470597</v>
      </c>
      <c r="J36" s="34">
        <f t="shared" si="6"/>
        <v>2.3254135666366342</v>
      </c>
      <c r="K36" s="34">
        <f t="shared" si="6"/>
        <v>2.456688810666209</v>
      </c>
      <c r="L36" s="34">
        <f t="shared" si="6"/>
        <v>2.5695749739605018</v>
      </c>
      <c r="M36" s="34">
        <f t="shared" si="6"/>
        <v>2.6610083125532871</v>
      </c>
      <c r="N36" s="34">
        <f t="shared" si="6"/>
        <v>2.7540713789584186</v>
      </c>
      <c r="O36" s="34">
        <f t="shared" si="6"/>
        <v>2.7790985417613721</v>
      </c>
      <c r="P36" s="34">
        <f t="shared" si="6"/>
        <v>2.7993131071539921</v>
      </c>
      <c r="Q36" s="34">
        <f t="shared" si="6"/>
        <v>2.81589510571595</v>
      </c>
      <c r="R36" s="34">
        <f t="shared" si="6"/>
        <v>2.8320534161572186</v>
      </c>
      <c r="S36" s="34">
        <f t="shared" si="6"/>
        <v>2.8451672602399016</v>
      </c>
      <c r="T36" s="34">
        <f t="shared" si="6"/>
        <v>2.8560049688341924</v>
      </c>
      <c r="U36" s="34">
        <f t="shared" si="6"/>
        <v>2.8593154301133357</v>
      </c>
      <c r="V36" s="34">
        <f t="shared" si="6"/>
        <v>2.8593154311036688</v>
      </c>
      <c r="W36" s="34">
        <f t="shared" si="6"/>
        <v>2.8593154311036688</v>
      </c>
    </row>
    <row r="37" spans="2:51" x14ac:dyDescent="0.2">
      <c r="B37" s="32" t="s">
        <v>94</v>
      </c>
      <c r="C37" s="1"/>
      <c r="D37" s="2">
        <f>'Input data'!D$39</f>
        <v>2.96</v>
      </c>
      <c r="E37" s="2">
        <f>'Input data'!E$39</f>
        <v>3.91</v>
      </c>
      <c r="F37" s="166">
        <f>'Input data'!F$39</f>
        <v>3.3161689999999999</v>
      </c>
      <c r="G37" s="166">
        <f>'Input data'!G$39</f>
        <v>3.3153579999999998</v>
      </c>
      <c r="H37" s="1">
        <f>G37+($O$37-$G$37)/($O$10-$G$10)</f>
        <v>3.381707</v>
      </c>
      <c r="I37" s="1">
        <f t="shared" ref="I37:N37" si="7">H37+($O$37-$G$37)/($O$10-$G$10)</f>
        <v>3.4480560000000002</v>
      </c>
      <c r="J37" s="1">
        <f t="shared" si="7"/>
        <v>3.5144050000000004</v>
      </c>
      <c r="K37" s="1">
        <f t="shared" si="7"/>
        <v>3.5807540000000007</v>
      </c>
      <c r="L37" s="1">
        <f t="shared" si="7"/>
        <v>3.6471030000000009</v>
      </c>
      <c r="M37" s="1">
        <f t="shared" si="7"/>
        <v>3.7134520000000011</v>
      </c>
      <c r="N37" s="1">
        <f t="shared" si="7"/>
        <v>3.7798010000000013</v>
      </c>
      <c r="O37" s="252">
        <f>'Input data'!$C$52</f>
        <v>3.8461500000000002</v>
      </c>
      <c r="P37" s="1">
        <f>'Baseline NFPC'!P36</f>
        <v>3.8538425000000003</v>
      </c>
      <c r="Q37" s="1">
        <f>'Baseline NFPC'!Q36</f>
        <v>3.8615349999999999</v>
      </c>
      <c r="R37" s="1">
        <f>'Baseline NFPC'!R36</f>
        <v>3.8692275</v>
      </c>
      <c r="S37" s="1">
        <f>'Baseline NFPC'!S36</f>
        <v>3.8769200000000001</v>
      </c>
      <c r="T37" s="1">
        <f>'Baseline NFPC'!T36</f>
        <v>3.8846125000000002</v>
      </c>
      <c r="U37" s="1">
        <f>'Baseline NFPC'!U36</f>
        <v>3.8923050000000003</v>
      </c>
      <c r="V37" s="1">
        <f>'Baseline NFPC'!V36</f>
        <v>3.8999975</v>
      </c>
      <c r="W37" s="1">
        <f>'Baseline NFPC'!W36</f>
        <v>3.9076900000000001</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3.8019160000000003E-2</v>
      </c>
      <c r="D39" s="34">
        <f>'Baseline NFPC'!D38</f>
        <v>7.8597440000000005E-2</v>
      </c>
      <c r="E39" s="34">
        <f>'Baseline NFPC'!E38</f>
        <v>5.9475470000000003E-2</v>
      </c>
      <c r="F39" s="34">
        <f>'Baseline NFPC'!F38</f>
        <v>9.6876959999999998E-2</v>
      </c>
      <c r="G39" s="34">
        <f>'Baseline NFPC'!G38</f>
        <v>0.11684023</v>
      </c>
      <c r="H39" s="34">
        <f>'Baseline NFPC'!H38</f>
        <v>0.13811532000000001</v>
      </c>
      <c r="I39" s="34">
        <f>'Baseline NFPC'!I38</f>
        <v>0.13659083</v>
      </c>
      <c r="J39" s="34">
        <f>'Baseline NFPC'!J38</f>
        <v>0.14219135999999999</v>
      </c>
      <c r="K39" s="34">
        <f>'Baseline NFPC'!K38</f>
        <v>0.1389396</v>
      </c>
      <c r="L39" s="34">
        <f>'Baseline NFPC'!L38</f>
        <v>0.12512538000000001</v>
      </c>
      <c r="M39" s="34">
        <f>'Baseline NFPC'!M38</f>
        <v>0.12849179999999999</v>
      </c>
      <c r="N39" s="34">
        <f>'Baseline NFPC'!N38</f>
        <v>7.2085140000000006E-2</v>
      </c>
      <c r="O39" s="34">
        <f>'Baseline NFPC'!O38</f>
        <v>6.8681389999999995E-2</v>
      </c>
      <c r="P39" s="34">
        <f>'Baseline NFPC'!P38</f>
        <v>6.8049499999999999E-2</v>
      </c>
      <c r="Q39" s="34">
        <f>'Baseline NFPC'!Q38</f>
        <v>6.8080779999999994E-2</v>
      </c>
      <c r="R39" s="34">
        <f>'Baseline NFPC'!R38</f>
        <v>6.7666320000000002E-2</v>
      </c>
      <c r="S39" s="34">
        <f>'Baseline NFPC'!S38</f>
        <v>6.9220519999999994E-2</v>
      </c>
      <c r="T39" s="34">
        <f>'Baseline NFPC'!T38</f>
        <v>6.6629789999999994E-2</v>
      </c>
      <c r="U39" s="34">
        <f>'Baseline NFPC'!U38</f>
        <v>6.6434309999999996E-2</v>
      </c>
      <c r="V39" s="34">
        <f>'Baseline NFPC'!V38</f>
        <v>6.6393380000000002E-2</v>
      </c>
      <c r="W39" s="34">
        <f>'Baseline NFPC'!W38</f>
        <v>6.621254E-2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2.685441</v>
      </c>
      <c r="D42" s="2">
        <f>'Input data'!D42</f>
        <v>6.0659559999999999</v>
      </c>
      <c r="E42" s="2">
        <f>'Input data'!E42</f>
        <v>4.7312440000000002</v>
      </c>
      <c r="F42" s="2">
        <f>'Input data'!F42</f>
        <v>3.7133859999999999</v>
      </c>
      <c r="G42" s="2">
        <f>'Input data'!G42</f>
        <v>2.3751250000000002</v>
      </c>
      <c r="H42" s="1">
        <f>'Baseline NFPC'!H41</f>
        <v>2.3969843750000002</v>
      </c>
      <c r="I42" s="1">
        <f>'Baseline NFPC'!I41</f>
        <v>2.4188437500000002</v>
      </c>
      <c r="J42" s="1">
        <f>'Baseline NFPC'!J41</f>
        <v>2.4407031250000002</v>
      </c>
      <c r="K42" s="1">
        <f>'Baseline NFPC'!K41</f>
        <v>2.4625624999999998</v>
      </c>
      <c r="L42" s="1">
        <f>'Baseline NFPC'!L41</f>
        <v>2.4844218749999998</v>
      </c>
      <c r="M42" s="1">
        <f>'Baseline NFPC'!M41</f>
        <v>2.5062812499999998</v>
      </c>
      <c r="N42" s="1">
        <f>'Baseline NFPC'!N41</f>
        <v>2.5281406249999998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v>
      </c>
      <c r="D43" s="1">
        <f>'Baseline NFPC'!D42</f>
        <v>1</v>
      </c>
      <c r="E43" s="1">
        <f>'Baseline NFPC'!E42</f>
        <v>1</v>
      </c>
      <c r="F43" s="1">
        <f>'Baseline NFPC'!F42</f>
        <v>1</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257</v>
      </c>
      <c r="C48" s="57">
        <f>'Input data'!C50</f>
        <v>0.504</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0</v>
      </c>
      <c r="H50" s="34">
        <f>IF(AND(ABS((H12-G12)-('Input data'!H13-'Input data'!G13))&gt;0.0001,ABS(H12-G12)&gt;0.0001,H$10&gt;$C$5),4,IF(G50=4,3,IF(G50=3,2,IF(G50=2,1,0))))</f>
        <v>0</v>
      </c>
      <c r="I50" s="34">
        <f>IF(AND(ABS((I12-H12)-('Input data'!I13-'Input data'!H13))&gt;0.0001,ABS(I12-H12)&gt;0.0001,I$10&gt;$C$5),4,IF(H50=4,3,IF(H50=3,2,IF(H50=2,1,0))))</f>
        <v>0</v>
      </c>
      <c r="J50" s="34">
        <f>IF(AND(ABS((J12-I12)-('Input data'!J13-'Input data'!I13))&gt;0.0001,ABS(J12-I12)&gt;0.0001,J$10&gt;$C$5),4,IF(I50=4,3,IF(I50=3,2,IF(I50=2,1,0))))</f>
        <v>0</v>
      </c>
      <c r="K50" s="34">
        <f>IF(AND(ABS((K12-J12)-('Input data'!K13-'Input data'!J13))&gt;0.0001,ABS(K12-J12)&gt;0.0001,K$10&gt;$C$5),4,IF(J50=4,3,IF(J50=3,2,IF(J50=2,1,0))))</f>
        <v>0</v>
      </c>
      <c r="L50" s="34">
        <f>IF(AND(ABS((L12-K12)-('Input data'!L13-'Input data'!K13))&gt;0.0001,ABS(L12-K12)&gt;0.0001,L$10&gt;$C$5),4,IF(K50=4,3,IF(K50=3,2,IF(K50=2,1,0))))</f>
        <v>0</v>
      </c>
      <c r="M50" s="34">
        <f>IF(AND(ABS((M12-L12)-('Input data'!M13-'Input data'!L13))&gt;0.0001,ABS(M12-L12)&gt;0.0001,M$10&gt;$C$5),4,IF(L50=4,3,IF(L50=3,2,IF(L50=2,1,0))))</f>
        <v>0</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9">IF(C50=4,2/3*C30,IF(C50=3,1/3*B30,0))</f>
        <v>0</v>
      </c>
      <c r="E51" s="34">
        <f t="shared" si="9"/>
        <v>0</v>
      </c>
      <c r="F51" s="34">
        <f t="shared" si="9"/>
        <v>0</v>
      </c>
      <c r="G51" s="34">
        <f t="shared" si="9"/>
        <v>0</v>
      </c>
      <c r="H51" s="34">
        <f t="shared" si="9"/>
        <v>0</v>
      </c>
      <c r="I51" s="34">
        <f t="shared" si="9"/>
        <v>0</v>
      </c>
      <c r="J51" s="34">
        <f t="shared" si="9"/>
        <v>0</v>
      </c>
      <c r="K51" s="34">
        <f t="shared" si="9"/>
        <v>0</v>
      </c>
      <c r="L51" s="34">
        <f t="shared" si="9"/>
        <v>0</v>
      </c>
      <c r="M51" s="34">
        <f t="shared" si="9"/>
        <v>0</v>
      </c>
      <c r="N51" s="34">
        <f t="shared" si="9"/>
        <v>0</v>
      </c>
      <c r="O51" s="34">
        <f t="shared" si="9"/>
        <v>0</v>
      </c>
      <c r="P51" s="34">
        <f t="shared" si="9"/>
        <v>0</v>
      </c>
      <c r="Q51" s="34">
        <f t="shared" si="9"/>
        <v>0</v>
      </c>
      <c r="R51" s="34">
        <f t="shared" si="9"/>
        <v>0</v>
      </c>
      <c r="S51" s="34">
        <f t="shared" si="9"/>
        <v>0</v>
      </c>
      <c r="T51" s="34">
        <f t="shared" si="9"/>
        <v>0</v>
      </c>
      <c r="U51" s="34">
        <f t="shared" si="9"/>
        <v>0</v>
      </c>
      <c r="V51" s="34">
        <f t="shared" si="9"/>
        <v>0</v>
      </c>
      <c r="W51" s="34">
        <f t="shared" si="9"/>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5.0579340000000004</v>
      </c>
      <c r="E52" s="34">
        <f>'Input data'!E30-$C$47*((E12-D12)-('Input data'!E13-'Input data'!D13))</f>
        <v>2.4612370000000001</v>
      </c>
      <c r="F52" s="34">
        <f>'Input data'!F30-$C$47*((F12-E12)-('Input data'!F13-'Input data'!E13))</f>
        <v>2.7786170000000001</v>
      </c>
      <c r="G52" s="34">
        <f>'Input data'!G30-$C$47*((G12-F12))</f>
        <v>3.0115460000000001</v>
      </c>
      <c r="H52" s="34">
        <f>'Input data'!H30-$C$47*((H12-G12))</f>
        <v>2.198547</v>
      </c>
      <c r="I52" s="34">
        <f>'Input data'!I30-$C$47*((I12-H12))</f>
        <v>1.541577</v>
      </c>
      <c r="J52" s="34">
        <f>'Input data'!J30-$C$47*((J12-I12))</f>
        <v>1.5989310000000001</v>
      </c>
      <c r="K52" s="34">
        <f>'Input data'!K30-$C$47*((K12-J12))</f>
        <v>1.6630259999999999</v>
      </c>
      <c r="L52" s="34">
        <f>'Input data'!L30-$C$47*((L12-K12))</f>
        <v>1.5770960000000001</v>
      </c>
      <c r="M52" s="34">
        <f>'Input data'!M30-$C$47*((M12-L12))</f>
        <v>1.5250999999999999</v>
      </c>
      <c r="N52" s="34">
        <f>'Input data'!N30-$C$47*((N12-M12))</f>
        <v>1.499671</v>
      </c>
      <c r="O52" s="34">
        <f>'Input data'!O30-$C$47*((O12-N12))</f>
        <v>1.472451</v>
      </c>
      <c r="P52" s="34">
        <f>'Input data'!P30-$C$47*((P12-O12))</f>
        <v>1.5369170000000001</v>
      </c>
      <c r="Q52" s="34">
        <f>'Input data'!Q30-$C$47*((Q12-P12))</f>
        <v>1.6013869999999999</v>
      </c>
      <c r="R52" s="34">
        <f>'Input data'!R30-$C$47*((R12-Q12))</f>
        <v>1.6658569999999999</v>
      </c>
      <c r="S52" s="34">
        <f>'Input data'!S30-$C$47*((S12-R12))</f>
        <v>1.7527699999999999</v>
      </c>
      <c r="T52" s="34">
        <f>'Input data'!T30-$C$47*((T12-S12))</f>
        <v>1.806942</v>
      </c>
      <c r="U52" s="34">
        <f>'Input data'!U30-$C$47*((U12-T12))</f>
        <v>1.8724879999999999</v>
      </c>
      <c r="V52" s="34">
        <f>'Input data'!V30-$C$47*((V12-U12))</f>
        <v>1.942307</v>
      </c>
      <c r="W52" s="34">
        <f>'Input data'!W30-$C$47*((W12-V12))</f>
        <v>1.9095040000000001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99.250230000000002</v>
      </c>
      <c r="D57" s="45">
        <f>+C57+D58</f>
        <v>85.595287844886869</v>
      </c>
      <c r="E57" s="45">
        <f>+D57+E58</f>
        <v>77.284440321959977</v>
      </c>
      <c r="F57" s="45">
        <f>+E57+F58</f>
        <v>70.579945075187567</v>
      </c>
      <c r="G57" s="45">
        <f>+F57+G58</f>
        <v>65.467738950078513</v>
      </c>
      <c r="H57" s="45">
        <f t="shared" ref="H57:S57" si="10">+G57+H58</f>
        <v>59.99104804318636</v>
      </c>
      <c r="I57" s="45">
        <f t="shared" si="10"/>
        <v>55.344336413083951</v>
      </c>
      <c r="J57" s="45">
        <f t="shared" si="10"/>
        <v>50.929639670376446</v>
      </c>
      <c r="K57" s="45">
        <f t="shared" si="10"/>
        <v>46.496687645996076</v>
      </c>
      <c r="L57" s="45">
        <f t="shared" si="10"/>
        <v>42.459373869564104</v>
      </c>
      <c r="M57" s="45">
        <f t="shared" si="10"/>
        <v>38.775312732290459</v>
      </c>
      <c r="N57" s="45">
        <f t="shared" si="10"/>
        <v>35.374126048899583</v>
      </c>
      <c r="O57" s="45">
        <f t="shared" si="10"/>
        <v>32.262514939085726</v>
      </c>
      <c r="P57" s="45">
        <f t="shared" si="10"/>
        <v>29.340409626930644</v>
      </c>
      <c r="Q57" s="45">
        <f t="shared" si="10"/>
        <v>26.665659419907438</v>
      </c>
      <c r="R57" s="45">
        <f t="shared" si="10"/>
        <v>24.168336235214845</v>
      </c>
      <c r="S57" s="45">
        <f t="shared" si="10"/>
        <v>21.808684985207481</v>
      </c>
      <c r="T57" s="45">
        <f>+S57+T58</f>
        <v>19.585857825183719</v>
      </c>
      <c r="U57" s="45">
        <f>+T57+U58</f>
        <v>17.188179668616975</v>
      </c>
      <c r="V57" s="45">
        <f t="shared" ref="V57:W57" si="11">+U57+V58</f>
        <v>15.006288509813093</v>
      </c>
      <c r="W57" s="45">
        <f t="shared" si="11"/>
        <v>12.883662123244548</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-13.654942155113131</v>
      </c>
      <c r="E58" s="47">
        <f>-E59+E67+E72</f>
        <v>-8.3108475229268901</v>
      </c>
      <c r="F58" s="47">
        <f>-F59+F67+F72</f>
        <v>-6.7044952467724084</v>
      </c>
      <c r="G58" s="47">
        <f>-G59+G67+G72</f>
        <v>-5.1122061251090507</v>
      </c>
      <c r="H58" s="47">
        <f t="shared" ref="H58:S58" si="12">-H59+H67+H72</f>
        <v>-5.4766909068921494</v>
      </c>
      <c r="I58" s="47">
        <f t="shared" si="12"/>
        <v>-4.6467116301024092</v>
      </c>
      <c r="J58" s="47">
        <f t="shared" si="12"/>
        <v>-4.4146967427075072</v>
      </c>
      <c r="K58" s="47">
        <f t="shared" si="12"/>
        <v>-4.4329520243803682</v>
      </c>
      <c r="L58" s="47">
        <f t="shared" si="12"/>
        <v>-4.0373137764319749</v>
      </c>
      <c r="M58" s="47">
        <f t="shared" si="12"/>
        <v>-3.6840611372736465</v>
      </c>
      <c r="N58" s="47">
        <f t="shared" si="12"/>
        <v>-3.401186683390879</v>
      </c>
      <c r="O58" s="47">
        <f t="shared" si="12"/>
        <v>-3.1116111098138606</v>
      </c>
      <c r="P58" s="47">
        <f t="shared" si="12"/>
        <v>-2.9221053121550811</v>
      </c>
      <c r="Q58" s="47">
        <f t="shared" si="12"/>
        <v>-2.6747502070232061</v>
      </c>
      <c r="R58" s="47">
        <f t="shared" si="12"/>
        <v>-2.4973231846925952</v>
      </c>
      <c r="S58" s="47">
        <f t="shared" si="12"/>
        <v>-2.3596512500073628</v>
      </c>
      <c r="T58" s="47">
        <f>-T59+T67+T72</f>
        <v>-2.2228271600237628</v>
      </c>
      <c r="U58" s="47">
        <f t="shared" ref="U58:W58" si="13">-U59+U67+U72</f>
        <v>-2.3976781565667444</v>
      </c>
      <c r="V58" s="47">
        <f t="shared" si="13"/>
        <v>-2.1818911588038814</v>
      </c>
      <c r="W58" s="47">
        <f t="shared" si="13"/>
        <v>-2.1226263865685451</v>
      </c>
    </row>
    <row r="59" spans="2:48" outlineLevel="1" x14ac:dyDescent="0.2">
      <c r="B59" s="84" t="s">
        <v>106</v>
      </c>
      <c r="C59" s="48"/>
      <c r="D59" s="48">
        <f>D60+D61-D62-D63-D64-D65-D66</f>
        <v>4.1969893551131312</v>
      </c>
      <c r="E59" s="48">
        <f>E60+E61-E62-E63-E64-E65-E66</f>
        <v>4.5240515229268894</v>
      </c>
      <c r="F59" s="48">
        <f t="shared" ref="F59:R59" si="14">F60+F61-F62-F63-F64-F65-F66</f>
        <v>4.2972697467724092</v>
      </c>
      <c r="G59" s="48">
        <f t="shared" si="14"/>
        <v>4.0366541251090524</v>
      </c>
      <c r="H59" s="48">
        <f t="shared" si="14"/>
        <v>3.8519046672059583</v>
      </c>
      <c r="I59" s="48">
        <f t="shared" si="14"/>
        <v>3.6055675238428302</v>
      </c>
      <c r="J59" s="48">
        <f t="shared" si="14"/>
        <v>3.4823997525488415</v>
      </c>
      <c r="K59" s="48">
        <f t="shared" si="14"/>
        <v>3.5969620525488351</v>
      </c>
      <c r="L59" s="48">
        <f t="shared" si="14"/>
        <v>3.3534353448984429</v>
      </c>
      <c r="M59" s="48">
        <f t="shared" si="14"/>
        <v>3.109367744898444</v>
      </c>
      <c r="N59" s="48">
        <f t="shared" si="14"/>
        <v>2.9124590517918709</v>
      </c>
      <c r="O59" s="48">
        <f t="shared" si="14"/>
        <v>2.6761823451648521</v>
      </c>
      <c r="P59" s="48">
        <f t="shared" si="14"/>
        <v>2.5195536524225828</v>
      </c>
      <c r="Q59" s="48">
        <f t="shared" si="14"/>
        <v>2.3027144642541306</v>
      </c>
      <c r="R59" s="48">
        <f t="shared" si="14"/>
        <v>2.1537052770294149</v>
      </c>
      <c r="S59" s="48">
        <f>S60+S61-S62-S63-S64-S65-S66</f>
        <v>2.0372761910750574</v>
      </c>
      <c r="T59" s="48">
        <f>T60+T61-T62-T63-T64-T65-T66</f>
        <v>1.9285189861296335</v>
      </c>
      <c r="U59" s="48">
        <f>U60+U61-U62-U63-U64-U65-U66</f>
        <v>2.126743265073848</v>
      </c>
      <c r="V59" s="48">
        <f t="shared" ref="V59:W59" si="15">V60+V61-V62-V63-V64-V65-V66</f>
        <v>1.9370655650738433</v>
      </c>
      <c r="W59" s="48">
        <f t="shared" si="15"/>
        <v>1.9176173705175044</v>
      </c>
    </row>
    <row r="60" spans="2:48" outlineLevel="1" x14ac:dyDescent="0.2">
      <c r="B60" s="79" t="s">
        <v>107</v>
      </c>
      <c r="C60" s="1"/>
      <c r="D60" s="1">
        <f>D12</f>
        <v>2.087558</v>
      </c>
      <c r="E60" s="1">
        <f>E12</f>
        <v>3.2270470000000002</v>
      </c>
      <c r="F60" s="1">
        <f>F12</f>
        <v>3.482405</v>
      </c>
      <c r="G60" s="1">
        <f t="shared" ref="G60:W60" si="16">IF(G12="",F60,G12)</f>
        <v>3.482405</v>
      </c>
      <c r="H60" s="1">
        <f t="shared" si="16"/>
        <v>3.482405</v>
      </c>
      <c r="I60" s="1">
        <f t="shared" si="16"/>
        <v>3.482405</v>
      </c>
      <c r="J60" s="1">
        <f t="shared" si="16"/>
        <v>3.482405</v>
      </c>
      <c r="K60" s="1">
        <f t="shared" si="16"/>
        <v>3.482405</v>
      </c>
      <c r="L60" s="1">
        <f t="shared" si="16"/>
        <v>3.482405</v>
      </c>
      <c r="M60" s="1">
        <f t="shared" si="16"/>
        <v>3.482405</v>
      </c>
      <c r="N60" s="1">
        <f t="shared" si="16"/>
        <v>3.482405</v>
      </c>
      <c r="O60" s="1">
        <f t="shared" si="16"/>
        <v>3.482405</v>
      </c>
      <c r="P60" s="1">
        <f t="shared" si="16"/>
        <v>3.482405</v>
      </c>
      <c r="Q60" s="1">
        <f t="shared" si="16"/>
        <v>3.482405</v>
      </c>
      <c r="R60" s="1">
        <f t="shared" si="16"/>
        <v>3.482405</v>
      </c>
      <c r="S60" s="1">
        <f t="shared" si="16"/>
        <v>3.482405</v>
      </c>
      <c r="T60" s="1">
        <f t="shared" si="16"/>
        <v>3.482405</v>
      </c>
      <c r="U60" s="1">
        <f t="shared" si="16"/>
        <v>3.482405</v>
      </c>
      <c r="V60" s="1">
        <f t="shared" si="16"/>
        <v>3.482405</v>
      </c>
      <c r="W60" s="1">
        <f t="shared" si="16"/>
        <v>3.482405</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-2.1094313551131312</v>
      </c>
      <c r="E62" s="1">
        <f t="shared" si="17"/>
        <v>-1.2970045229268887</v>
      </c>
      <c r="F62" s="1">
        <f t="shared" si="17"/>
        <v>-0.81486474677240894</v>
      </c>
      <c r="G62" s="1">
        <f t="shared" si="17"/>
        <v>-0.55424912510905266</v>
      </c>
      <c r="H62" s="1">
        <f t="shared" si="17"/>
        <v>-0.36949966720595828</v>
      </c>
      <c r="I62" s="1">
        <f t="shared" si="17"/>
        <v>-0.12316252384283022</v>
      </c>
      <c r="J62" s="1">
        <f t="shared" si="17"/>
        <v>5.2474511583966429E-6</v>
      </c>
      <c r="K62" s="1">
        <f t="shared" si="17"/>
        <v>5.2474511639921671E-6</v>
      </c>
      <c r="L62" s="1">
        <f t="shared" si="17"/>
        <v>4.2551015543068619E-6</v>
      </c>
      <c r="M62" s="1">
        <f>-$C$48*M30</f>
        <v>4.2551015543068619E-6</v>
      </c>
      <c r="N62" s="1">
        <f t="shared" si="17"/>
        <v>5.2482081264848544E-6</v>
      </c>
      <c r="O62" s="1">
        <f t="shared" si="17"/>
        <v>4.2548351458115976E-6</v>
      </c>
      <c r="P62" s="1">
        <f t="shared" si="17"/>
        <v>5.2475774102056507E-6</v>
      </c>
      <c r="Q62" s="1">
        <f t="shared" si="17"/>
        <v>6.7357458626737811E-6</v>
      </c>
      <c r="R62" s="1">
        <f t="shared" si="17"/>
        <v>8.2229705796521561E-6</v>
      </c>
      <c r="S62" s="1">
        <f t="shared" si="17"/>
        <v>9.7089249336157473E-6</v>
      </c>
      <c r="T62" s="1">
        <f t="shared" si="17"/>
        <v>9.2138703666755362E-6</v>
      </c>
      <c r="U62" s="1">
        <f>-$C$48*U30</f>
        <v>7.234926149379817E-6</v>
      </c>
      <c r="V62" s="1">
        <f t="shared" si="17"/>
        <v>7.234926149379817E-6</v>
      </c>
      <c r="W62" s="1">
        <f t="shared" si="17"/>
        <v>7.7294824908591405E-6</v>
      </c>
    </row>
    <row r="63" spans="2:48" outlineLevel="1" x14ac:dyDescent="0.2">
      <c r="B63" s="79" t="s">
        <v>110</v>
      </c>
      <c r="C63" s="1"/>
      <c r="D63" s="1">
        <f t="shared" ref="D63:W63" si="18">-D14</f>
        <v>0</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-0.12070999999999898</v>
      </c>
      <c r="L64" s="1">
        <f>IF(L$56&lt;=$C$6,0,HLOOKUP(L$56,'Input data'!$C$9:$BB$26,12,FALSE)-HLOOKUP($C$6,'Input data'!$C$9:$BB$26,12,FALSE))</f>
        <v>0.11667000000000272</v>
      </c>
      <c r="M64" s="1">
        <f>IF(M$56&lt;=$C$6,0,HLOOKUP(M$56,'Input data'!$C$9:$BB$26,12,FALSE)-HLOOKUP($C$6,'Input data'!$C$9:$BB$26,12,FALSE))</f>
        <v>0.35459000000000174</v>
      </c>
      <c r="N64" s="1">
        <f>IF(N$56&lt;=$C$6,0,HLOOKUP(N$56,'Input data'!$C$9:$BB$26,12,FALSE)-HLOOKUP($C$6,'Input data'!$C$9:$BB$26,12,FALSE))</f>
        <v>0.54535000000000267</v>
      </c>
      <c r="O64" s="1">
        <f>IF(O$56&lt;=$C$6,0,HLOOKUP(O$56,'Input data'!$C$9:$BB$26,12,FALSE)-HLOOKUP($C$6,'Input data'!$C$9:$BB$26,12,FALSE))</f>
        <v>0.77548000000000172</v>
      </c>
      <c r="P64" s="1">
        <f>IF(P$56&lt;=$C$6,0,HLOOKUP(P$56,'Input data'!$C$9:$BB$26,12,FALSE)-HLOOKUP($C$6,'Input data'!$C$9:$BB$26,12,FALSE))</f>
        <v>0.925960000000007</v>
      </c>
      <c r="Q64" s="1">
        <f>IF(Q$56&lt;=$C$6,0,HLOOKUP(Q$56,'Input data'!$C$9:$BB$26,12,FALSE)-HLOOKUP($C$6,'Input data'!$C$9:$BB$26,12,FALSE))</f>
        <v>1.1366500000000066</v>
      </c>
      <c r="R64" s="1">
        <f>IF(R$56&lt;=$C$6,0,HLOOKUP(R$56,'Input data'!$C$9:$BB$26,12,FALSE)-HLOOKUP($C$6,'Input data'!$C$9:$BB$26,12,FALSE))</f>
        <v>1.2795100000000055</v>
      </c>
      <c r="S64" s="1">
        <f>IF(S$56&lt;=$C$6,0,HLOOKUP(S$56,'Input data'!$C$9:$BB$26,12,FALSE)-HLOOKUP($C$6,'Input data'!$C$9:$BB$26,12,FALSE))</f>
        <v>1.3897900000000085</v>
      </c>
      <c r="T64" s="1">
        <f>IF(T$56&lt;=$C$6,0,HLOOKUP(T$56,'Input data'!$C$9:$BB$26,12,FALSE)-HLOOKUP($C$6,'Input data'!$C$9:$BB$26,12,FALSE))</f>
        <v>1.4923999999999999</v>
      </c>
      <c r="U64" s="1">
        <f>IF(U$56&lt;=$C$6,0,HLOOKUP(U$56,'Input data'!$C$9:$BB$26,12,FALSE)-HLOOKUP($C$6,'Input data'!$C$9:$BB$26,12,FALSE))</f>
        <v>1.2880300000000027</v>
      </c>
      <c r="V64" s="1">
        <f>IF(V$56&lt;=$C$6,0,HLOOKUP(V$56,'Input data'!$C$9:$BB$26,12,FALSE)-HLOOKUP($C$6,'Input data'!$C$9:$BB$26,12,FALSE))</f>
        <v>1.4715600000000073</v>
      </c>
      <c r="W64" s="1">
        <f>IF(W$56&lt;=$C$6,0,HLOOKUP(W$56,'Input data'!$C$9:$BB$26,12,FALSE)-HLOOKUP($C$6,'Input data'!$C$9:$BB$26,12,FALSE))</f>
        <v>1.4848600000000047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6.1476999999999782E-3</v>
      </c>
      <c r="L65" s="1">
        <f>IF(L$56&lt;=$C$6,0,-HLOOKUP(L$56,'Input data'!$C$9:$BB$26,18,FALSE)+HLOOKUP($C$6,'Input data'!$C$9:$BB$26,18,FALSE))</f>
        <v>1.2295400000000012E-2</v>
      </c>
      <c r="M65" s="1">
        <f>IF(M$56&lt;=$C$6,0,-HLOOKUP(M$56,'Input data'!$C$9:$BB$26,18,FALSE)+HLOOKUP($C$6,'Input data'!$C$9:$BB$26,18,FALSE))</f>
        <v>1.8442999999999987E-2</v>
      </c>
      <c r="N65" s="1">
        <f>IF(N$56&lt;=$C$6,0,-HLOOKUP(N$56,'Input data'!$C$9:$BB$26,18,FALSE)+HLOOKUP($C$6,'Input data'!$C$9:$BB$26,18,FALSE))</f>
        <v>2.4590700000000021E-2</v>
      </c>
      <c r="O65" s="1">
        <f>IF(O$56&lt;=$C$6,0,-HLOOKUP(O$56,'Input data'!$C$9:$BB$26,18,FALSE)+HLOOKUP($C$6,'Input data'!$C$9:$BB$26,18,FALSE))</f>
        <v>3.0738399999999999E-2</v>
      </c>
      <c r="P65" s="1">
        <f>IF(P$56&lt;=$C$6,0,-HLOOKUP(P$56,'Input data'!$C$9:$BB$26,18,FALSE)+HLOOKUP($C$6,'Input data'!$C$9:$BB$26,18,FALSE))</f>
        <v>3.6886100000000033E-2</v>
      </c>
      <c r="Q65" s="1">
        <f>IF(Q$56&lt;=$C$6,0,-HLOOKUP(Q$56,'Input data'!$C$9:$BB$26,18,FALSE)+HLOOKUP($C$6,'Input data'!$C$9:$BB$26,18,FALSE))</f>
        <v>4.3033800000000011E-2</v>
      </c>
      <c r="R65" s="1">
        <f>IF(R$56&lt;=$C$6,0,-HLOOKUP(R$56,'Input data'!$C$9:$BB$26,18,FALSE)+HLOOKUP($C$6,'Input data'!$C$9:$BB$26,18,FALSE))</f>
        <v>4.9181499999999989E-2</v>
      </c>
      <c r="S65" s="1">
        <f>IF(S$56&lt;=$C$6,0,-HLOOKUP(S$56,'Input data'!$C$9:$BB$26,18,FALSE)+HLOOKUP($C$6,'Input data'!$C$9:$BB$26,18,FALSE))</f>
        <v>5.532910000000002E-2</v>
      </c>
      <c r="T65" s="1">
        <f>IF(T$56&lt;=$C$6,0,-HLOOKUP(T$56,'Input data'!$C$9:$BB$26,18,FALSE)+HLOOKUP($C$6,'Input data'!$C$9:$BB$26,18,FALSE))</f>
        <v>6.1476799999999998E-2</v>
      </c>
      <c r="U65" s="264">
        <f>IF(U$56&lt;=$C$6,0,-HLOOKUP(U$56,'Input data'!$C$9:$BB$26,18,FALSE)+HLOOKUP($C$6,'Input data'!$C$9:$BB$26,18,FALSE))</f>
        <v>6.7624500000000032E-2</v>
      </c>
      <c r="V65" s="264">
        <f>IF(V$56&lt;=$C$6,0,-HLOOKUP(V$56,'Input data'!$C$9:$BB$26,18,FALSE)+HLOOKUP($C$6,'Input data'!$C$9:$BB$26,18,FALSE))</f>
        <v>7.377220000000001E-2</v>
      </c>
      <c r="W65" s="264">
        <f>IF(W$56&lt;=$C$6,0,-HLOOKUP(W$56,'Input data'!$C$9:$BB$26,18,FALSE)+HLOOKUP($C$6,'Input data'!$C$9:$BB$26,18,FALSE))</f>
        <v>7.9919899999999988E-2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19">SUM(D68:D71)</f>
        <v>-8.7130919999999996</v>
      </c>
      <c r="E67" s="48">
        <f t="shared" si="19"/>
        <v>-4.3880540000000003</v>
      </c>
      <c r="F67" s="48">
        <f t="shared" si="19"/>
        <v>-3.398539</v>
      </c>
      <c r="G67" s="48">
        <f t="shared" si="19"/>
        <v>-2.376224999999998</v>
      </c>
      <c r="H67" s="48">
        <f t="shared" si="19"/>
        <v>-1.624786239686191</v>
      </c>
      <c r="I67" s="48">
        <f t="shared" si="19"/>
        <v>-1.0411441062595792</v>
      </c>
      <c r="J67" s="48">
        <f t="shared" si="19"/>
        <v>-0.93229699015866596</v>
      </c>
      <c r="K67" s="48">
        <f t="shared" si="19"/>
        <v>-0.83598997183153267</v>
      </c>
      <c r="L67" s="48">
        <f t="shared" si="19"/>
        <v>-0.68387843153353178</v>
      </c>
      <c r="M67" s="48">
        <f t="shared" si="19"/>
        <v>-0.57469339237520234</v>
      </c>
      <c r="N67" s="48">
        <f t="shared" si="19"/>
        <v>-0.48872763159900834</v>
      </c>
      <c r="O67" s="48">
        <f t="shared" si="19"/>
        <v>-0.43542876464900848</v>
      </c>
      <c r="P67" s="48">
        <f t="shared" ref="P67:W67" si="20">SUM(P68:P71)</f>
        <v>-0.40255165973249835</v>
      </c>
      <c r="Q67" s="48">
        <f t="shared" si="20"/>
        <v>-0.37203574276907525</v>
      </c>
      <c r="R67" s="48">
        <f t="shared" si="20"/>
        <v>-0.34361790766318046</v>
      </c>
      <c r="S67" s="48">
        <f t="shared" si="20"/>
        <v>-0.32237505893230517</v>
      </c>
      <c r="T67" s="48">
        <f t="shared" si="20"/>
        <v>-0.29430817389412955</v>
      </c>
      <c r="U67" s="48">
        <f t="shared" si="20"/>
        <v>-0.27093489149289657</v>
      </c>
      <c r="V67" s="48">
        <f t="shared" si="20"/>
        <v>-0.24482559373003815</v>
      </c>
      <c r="W67" s="48">
        <f t="shared" si="20"/>
        <v>-0.20500901605104072</v>
      </c>
    </row>
    <row r="68" spans="2:23" outlineLevel="1" x14ac:dyDescent="0.2">
      <c r="B68" s="79" t="s">
        <v>115</v>
      </c>
      <c r="C68" s="34"/>
      <c r="D68" s="34">
        <f t="shared" ref="D68:E68" si="21">C57*D36/100*(1/(1+D33/100))</f>
        <v>1.4681210303537406</v>
      </c>
      <c r="E68" s="34">
        <f t="shared" si="21"/>
        <v>1.4419332710000843</v>
      </c>
      <c r="F68" s="34">
        <f>E57*F36/100*(1/(1+F33/100))</f>
        <v>1.3831494751458222</v>
      </c>
      <c r="G68" s="34">
        <f>F57*G36/100*(1/(1+G33/100))</f>
        <v>1.2767786110391002</v>
      </c>
      <c r="H68" s="34">
        <f t="shared" ref="H68:W68" si="22">G57*H36/100*(1/(1+H33/100))</f>
        <v>1.2831379643233658</v>
      </c>
      <c r="I68" s="34">
        <f t="shared" si="22"/>
        <v>1.2649332113743252</v>
      </c>
      <c r="J68" s="34">
        <f>I57*J36/100*(1/(1+J33/100))</f>
        <v>1.2365500441397026</v>
      </c>
      <c r="K68" s="34">
        <f t="shared" si="22"/>
        <v>1.2011368913869918</v>
      </c>
      <c r="L68" s="34">
        <f t="shared" si="22"/>
        <v>1.1477033815748543</v>
      </c>
      <c r="M68" s="34">
        <f t="shared" si="22"/>
        <v>1.0856651882778106</v>
      </c>
      <c r="N68" s="34">
        <f t="shared" si="22"/>
        <v>1.0261782020781569</v>
      </c>
      <c r="O68" s="34">
        <f t="shared" si="22"/>
        <v>0.94472596132227915</v>
      </c>
      <c r="P68" s="34">
        <f t="shared" si="22"/>
        <v>0.86757401490002517</v>
      </c>
      <c r="Q68" s="34">
        <f t="shared" si="22"/>
        <v>0.793378321096048</v>
      </c>
      <c r="R68" s="34">
        <f t="shared" si="22"/>
        <v>0.72492403981568965</v>
      </c>
      <c r="S68" s="34">
        <f t="shared" si="22"/>
        <v>0.65968824627445688</v>
      </c>
      <c r="T68" s="34">
        <f t="shared" si="22"/>
        <v>0.59739017758953605</v>
      </c>
      <c r="U68" s="34">
        <f t="shared" si="22"/>
        <v>0.5369222704313622</v>
      </c>
      <c r="V68" s="34">
        <f t="shared" si="22"/>
        <v>0.47099665750184189</v>
      </c>
      <c r="W68" s="34">
        <f t="shared" si="22"/>
        <v>0.41145059812243812</v>
      </c>
    </row>
    <row r="69" spans="2:23" outlineLevel="1" x14ac:dyDescent="0.2">
      <c r="B69" s="79" t="s">
        <v>116</v>
      </c>
      <c r="C69" s="34"/>
      <c r="D69" s="34">
        <f t="shared" ref="D69:W69" si="23">-C57*(D24/100)*(1/(1+D33/100))</f>
        <v>-4.5050520510522478</v>
      </c>
      <c r="E69" s="34">
        <f t="shared" si="23"/>
        <v>-1.9632130629281277</v>
      </c>
      <c r="F69" s="34">
        <f t="shared" si="23"/>
        <v>-2.0145737556775938</v>
      </c>
      <c r="G69" s="34">
        <f t="shared" si="23"/>
        <v>-2.0155355707128693</v>
      </c>
      <c r="H69" s="34">
        <f t="shared" si="23"/>
        <v>-1.3754069303052536</v>
      </c>
      <c r="I69" s="34">
        <f t="shared" si="23"/>
        <v>-0.88925824116184615</v>
      </c>
      <c r="J69" s="34">
        <f t="shared" si="23"/>
        <v>-0.85023938407910604</v>
      </c>
      <c r="K69" s="34">
        <f t="shared" si="23"/>
        <v>-0.81309520003636093</v>
      </c>
      <c r="L69" s="34">
        <f t="shared" si="23"/>
        <v>-0.70441159748623838</v>
      </c>
      <c r="M69" s="34">
        <f t="shared" si="23"/>
        <v>-0.62222578217117908</v>
      </c>
      <c r="N69" s="34">
        <f t="shared" si="23"/>
        <v>-0.55878351674049986</v>
      </c>
      <c r="O69" s="34">
        <f t="shared" si="23"/>
        <v>-0.5005445706841698</v>
      </c>
      <c r="P69" s="34">
        <f t="shared" si="23"/>
        <v>-0.47632729931155754</v>
      </c>
      <c r="Q69" s="34">
        <f t="shared" si="23"/>
        <v>-0.45119071619751072</v>
      </c>
      <c r="R69" s="34">
        <f t="shared" si="23"/>
        <v>-0.42641137321267253</v>
      </c>
      <c r="S69" s="34">
        <f t="shared" si="23"/>
        <v>-0.4064020360353035</v>
      </c>
      <c r="T69" s="34">
        <f t="shared" si="23"/>
        <v>-0.37795781661914185</v>
      </c>
      <c r="U69" s="34">
        <f t="shared" si="23"/>
        <v>-0.35161580905945272</v>
      </c>
      <c r="V69" s="34">
        <f t="shared" si="23"/>
        <v>-0.31994375118288976</v>
      </c>
      <c r="W69" s="34">
        <f t="shared" si="23"/>
        <v>-0.27477435835539515</v>
      </c>
    </row>
    <row r="70" spans="2:23" outlineLevel="1" x14ac:dyDescent="0.2">
      <c r="B70" s="79" t="s">
        <v>117</v>
      </c>
      <c r="C70" s="34"/>
      <c r="D70" s="34">
        <f t="shared" ref="D70:W70" si="24">-C57*D42/100*(1/(1+D42/100))</f>
        <v>-5.6761618041690971</v>
      </c>
      <c r="E70" s="34">
        <f t="shared" si="24"/>
        <v>-3.8667753439880266</v>
      </c>
      <c r="F70" s="34">
        <f t="shared" si="24"/>
        <v>-2.7671158929224595</v>
      </c>
      <c r="G70" s="34">
        <f t="shared" si="24"/>
        <v>-1.6374699620313513</v>
      </c>
      <c r="H70" s="34">
        <f t="shared" si="24"/>
        <v>-1.5325172737043031</v>
      </c>
      <c r="I70" s="34">
        <f t="shared" si="24"/>
        <v>-1.4168190764720583</v>
      </c>
      <c r="J70" s="34">
        <f t="shared" si="24"/>
        <v>-1.3186076502192625</v>
      </c>
      <c r="K70" s="34">
        <f t="shared" si="24"/>
        <v>-1.2240316631821635</v>
      </c>
      <c r="L70" s="34">
        <f t="shared" si="24"/>
        <v>-1.1271702156221477</v>
      </c>
      <c r="M70" s="34">
        <f t="shared" si="24"/>
        <v>-1.0381327984818338</v>
      </c>
      <c r="N70" s="34">
        <f t="shared" si="24"/>
        <v>-0.95612231693666538</v>
      </c>
      <c r="O70" s="34">
        <f t="shared" si="24"/>
        <v>-0.87961015528711783</v>
      </c>
      <c r="P70" s="34">
        <f t="shared" si="24"/>
        <v>-0.79379837532096598</v>
      </c>
      <c r="Q70" s="34">
        <f t="shared" si="24"/>
        <v>-0.71422334766761253</v>
      </c>
      <c r="R70" s="34">
        <f t="shared" si="24"/>
        <v>-0.64213057426619757</v>
      </c>
      <c r="S70" s="34">
        <f t="shared" si="24"/>
        <v>-0.57566126917145855</v>
      </c>
      <c r="T70" s="34">
        <f t="shared" si="24"/>
        <v>-0.51374053486452376</v>
      </c>
      <c r="U70" s="34">
        <f t="shared" si="24"/>
        <v>-0.45624135286480605</v>
      </c>
      <c r="V70" s="34">
        <f t="shared" si="24"/>
        <v>-0.39587850004899028</v>
      </c>
      <c r="W70" s="34">
        <f t="shared" si="24"/>
        <v>-0.34168525581808368</v>
      </c>
    </row>
    <row r="71" spans="2:23" outlineLevel="1" x14ac:dyDescent="0.2">
      <c r="B71" s="79" t="s">
        <v>118</v>
      </c>
      <c r="C71" s="49"/>
      <c r="D71" s="49">
        <f>'Baseline NFPC'!D70</f>
        <v>8.24867605331292E-7</v>
      </c>
      <c r="E71" s="49">
        <f>'Baseline NFPC'!E70</f>
        <v>1.1359160696500226E-6</v>
      </c>
      <c r="F71" s="49">
        <f>'Baseline NFPC'!F70</f>
        <v>1.1734542311181428E-6</v>
      </c>
      <c r="G71" s="49">
        <f>'Baseline NFPC'!G70</f>
        <v>1.9217051221431802E-6</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-0.74486079999999999</v>
      </c>
      <c r="E72" s="50">
        <f>'Input data'!E16</f>
        <v>0.60125799999999996</v>
      </c>
      <c r="F72" s="50">
        <f>'Input data'!F16</f>
        <v>0.99131349999999996</v>
      </c>
      <c r="G72" s="50">
        <f>'Input data'!G16</f>
        <v>1.300673</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5">D15</f>
        <v>-0.74485959999999996</v>
      </c>
      <c r="E73" s="34">
        <f t="shared" si="25"/>
        <v>0.60125580000000001</v>
      </c>
      <c r="F73" s="34">
        <f t="shared" si="25"/>
        <v>0.99131420000000003</v>
      </c>
      <c r="G73" s="34">
        <f t="shared" si="25"/>
        <v>1.300675</v>
      </c>
      <c r="H73" s="34">
        <f t="shared" si="25"/>
        <v>0</v>
      </c>
      <c r="I73" s="34">
        <f t="shared" si="25"/>
        <v>0</v>
      </c>
      <c r="J73" s="34">
        <f t="shared" si="25"/>
        <v>0</v>
      </c>
      <c r="K73" s="34">
        <f t="shared" si="25"/>
        <v>0</v>
      </c>
      <c r="L73" s="34">
        <f t="shared" si="25"/>
        <v>0</v>
      </c>
      <c r="M73" s="34">
        <f t="shared" si="25"/>
        <v>0</v>
      </c>
      <c r="N73" s="34">
        <f t="shared" si="25"/>
        <v>0</v>
      </c>
      <c r="O73" s="34">
        <f t="shared" si="25"/>
        <v>0</v>
      </c>
      <c r="P73" s="34">
        <f t="shared" si="25"/>
        <v>0</v>
      </c>
      <c r="Q73" s="34">
        <f t="shared" si="25"/>
        <v>0</v>
      </c>
      <c r="R73" s="34">
        <f t="shared" si="25"/>
        <v>0</v>
      </c>
      <c r="S73" s="34">
        <f t="shared" si="25"/>
        <v>0</v>
      </c>
      <c r="T73" s="34">
        <f t="shared" si="25"/>
        <v>0</v>
      </c>
      <c r="U73" s="34">
        <f t="shared" si="25"/>
        <v>0</v>
      </c>
      <c r="V73" s="34">
        <f t="shared" si="25"/>
        <v>0</v>
      </c>
      <c r="W73" s="34">
        <f t="shared" si="25"/>
        <v>0</v>
      </c>
    </row>
    <row r="74" spans="2:23" outlineLevel="1" x14ac:dyDescent="0.2">
      <c r="B74" s="89" t="s">
        <v>121</v>
      </c>
      <c r="C74" s="49"/>
      <c r="D74" s="49">
        <f>+D72-D73</f>
        <v>-1.2000000000345068E-6</v>
      </c>
      <c r="E74" s="49">
        <f t="shared" ref="E74:W74" si="26">+E72-E73</f>
        <v>2.1999999999522402E-6</v>
      </c>
      <c r="F74" s="49">
        <f t="shared" si="26"/>
        <v>-7.0000000007564012E-7</v>
      </c>
      <c r="G74" s="49">
        <f t="shared" si="26"/>
        <v>-2.0000000000575113E-6</v>
      </c>
      <c r="H74" s="49">
        <f t="shared" si="26"/>
        <v>0</v>
      </c>
      <c r="I74" s="49">
        <f t="shared" si="26"/>
        <v>0</v>
      </c>
      <c r="J74" s="49">
        <f t="shared" si="26"/>
        <v>0</v>
      </c>
      <c r="K74" s="49">
        <f t="shared" si="26"/>
        <v>0</v>
      </c>
      <c r="L74" s="49">
        <f t="shared" si="26"/>
        <v>0</v>
      </c>
      <c r="M74" s="49">
        <f t="shared" si="26"/>
        <v>0</v>
      </c>
      <c r="N74" s="49">
        <f t="shared" si="26"/>
        <v>0</v>
      </c>
      <c r="O74" s="49">
        <f t="shared" si="26"/>
        <v>0</v>
      </c>
      <c r="P74" s="49">
        <f t="shared" si="26"/>
        <v>0</v>
      </c>
      <c r="Q74" s="49">
        <f t="shared" si="26"/>
        <v>0</v>
      </c>
      <c r="R74" s="49">
        <f t="shared" si="26"/>
        <v>0</v>
      </c>
      <c r="S74" s="49">
        <f t="shared" si="26"/>
        <v>0</v>
      </c>
      <c r="T74" s="49">
        <f t="shared" si="26"/>
        <v>0</v>
      </c>
      <c r="U74" s="49">
        <f t="shared" si="26"/>
        <v>0</v>
      </c>
      <c r="V74" s="49">
        <f t="shared" si="26"/>
        <v>0</v>
      </c>
      <c r="W74" s="49">
        <f t="shared" si="26"/>
        <v>0</v>
      </c>
    </row>
    <row r="75" spans="2:23" ht="10.5" customHeight="1" outlineLevel="1" x14ac:dyDescent="0.2"/>
    <row r="76" spans="2:23" ht="10.5" customHeight="1" outlineLevel="1" x14ac:dyDescent="0.2">
      <c r="B76" s="91" t="s">
        <v>122</v>
      </c>
    </row>
    <row r="77" spans="2:23" x14ac:dyDescent="0.2">
      <c r="B77" s="77" t="s">
        <v>41</v>
      </c>
      <c r="C77" s="77"/>
      <c r="D77" s="78">
        <f>D59-D68</f>
        <v>2.7288683247593903</v>
      </c>
      <c r="E77" s="78">
        <f t="shared" ref="E77:W77" si="27">E59-E68</f>
        <v>3.0821182519268051</v>
      </c>
      <c r="F77" s="78">
        <f t="shared" si="27"/>
        <v>2.914120271626587</v>
      </c>
      <c r="G77" s="78">
        <f>G59-G68</f>
        <v>2.759875514069952</v>
      </c>
      <c r="H77" s="78">
        <f t="shared" si="27"/>
        <v>2.5687667028825922</v>
      </c>
      <c r="I77" s="78">
        <f t="shared" si="27"/>
        <v>2.340634312468505</v>
      </c>
      <c r="J77" s="78">
        <f t="shared" si="27"/>
        <v>2.2458497084091391</v>
      </c>
      <c r="K77" s="78">
        <f t="shared" si="27"/>
        <v>2.3958251611618433</v>
      </c>
      <c r="L77" s="78">
        <f t="shared" si="27"/>
        <v>2.2057319633235886</v>
      </c>
      <c r="M77" s="78">
        <f t="shared" si="27"/>
        <v>2.0237025566206333</v>
      </c>
      <c r="N77" s="78">
        <f t="shared" si="27"/>
        <v>1.886280849713714</v>
      </c>
      <c r="O77" s="78">
        <f t="shared" si="27"/>
        <v>1.7314563838425729</v>
      </c>
      <c r="P77" s="78">
        <f t="shared" si="27"/>
        <v>1.6519796375225577</v>
      </c>
      <c r="Q77" s="78">
        <f t="shared" si="27"/>
        <v>1.5093361431580825</v>
      </c>
      <c r="R77" s="78">
        <f t="shared" si="27"/>
        <v>1.4287812372137254</v>
      </c>
      <c r="S77" s="78">
        <f t="shared" si="27"/>
        <v>1.3775879448006005</v>
      </c>
      <c r="T77" s="78">
        <f t="shared" si="27"/>
        <v>1.3311288085400974</v>
      </c>
      <c r="U77" s="78">
        <f t="shared" si="27"/>
        <v>1.5898209946424857</v>
      </c>
      <c r="V77" s="78">
        <f t="shared" si="27"/>
        <v>1.4660689075720015</v>
      </c>
      <c r="W77" s="78">
        <f t="shared" si="27"/>
        <v>1.5061667723950662</v>
      </c>
    </row>
    <row r="78" spans="2:23" x14ac:dyDescent="0.2">
      <c r="B78" s="26" t="s">
        <v>42</v>
      </c>
      <c r="D78" s="34">
        <f>D60-D68-D64-D65-D66</f>
        <v>0.61943696964625938</v>
      </c>
      <c r="E78" s="34">
        <f t="shared" ref="E78:W78" si="28">E60-E68-E64-E65-E66</f>
        <v>1.7851137289999159</v>
      </c>
      <c r="F78" s="34">
        <f t="shared" si="28"/>
        <v>2.0992555248541778</v>
      </c>
      <c r="G78" s="34">
        <f t="shared" si="28"/>
        <v>2.2056263889608996</v>
      </c>
      <c r="H78" s="34">
        <f t="shared" si="28"/>
        <v>2.199267035676634</v>
      </c>
      <c r="I78" s="34">
        <f t="shared" si="28"/>
        <v>2.2174717886256747</v>
      </c>
      <c r="J78" s="34">
        <f t="shared" si="28"/>
        <v>2.2458549558602972</v>
      </c>
      <c r="K78" s="34">
        <f t="shared" si="28"/>
        <v>2.3958304086130071</v>
      </c>
      <c r="L78" s="34">
        <f t="shared" si="28"/>
        <v>2.2057362184251428</v>
      </c>
      <c r="M78" s="34">
        <f t="shared" si="28"/>
        <v>2.0237068117221875</v>
      </c>
      <c r="N78" s="34">
        <f t="shared" si="28"/>
        <v>1.8862860979218405</v>
      </c>
      <c r="O78" s="34">
        <f t="shared" si="28"/>
        <v>1.7314606386777192</v>
      </c>
      <c r="P78" s="34">
        <f t="shared" si="28"/>
        <v>1.6519848850999679</v>
      </c>
      <c r="Q78" s="34">
        <f t="shared" si="28"/>
        <v>1.5093428789039454</v>
      </c>
      <c r="R78" s="34">
        <f t="shared" si="28"/>
        <v>1.428789460184305</v>
      </c>
      <c r="S78" s="34">
        <f t="shared" si="28"/>
        <v>1.3775976537255346</v>
      </c>
      <c r="T78" s="34">
        <f t="shared" si="28"/>
        <v>1.3311380224104643</v>
      </c>
      <c r="U78" s="34">
        <f t="shared" si="28"/>
        <v>1.589828229568635</v>
      </c>
      <c r="V78" s="34">
        <f t="shared" si="28"/>
        <v>1.4660761424981508</v>
      </c>
      <c r="W78" s="34">
        <f t="shared" si="28"/>
        <v>1.5061745018775572</v>
      </c>
    </row>
    <row r="79" spans="2:23" x14ac:dyDescent="0.2">
      <c r="B79" s="35" t="s">
        <v>123</v>
      </c>
      <c r="C79" s="35"/>
      <c r="D79" s="285">
        <f>'Input data'!D45</f>
        <v>7.9711163322024241</v>
      </c>
      <c r="E79" s="285">
        <f>'Input data'!E45</f>
        <v>11.892187700351846</v>
      </c>
      <c r="F79" s="285">
        <f>'Input data'!F45</f>
        <v>6.9571484833848753</v>
      </c>
      <c r="G79" s="49">
        <f>'Input data'!G33+G42-(G$12-F$12)/'Input data'!$C$64*100</f>
        <v>5.9135439999999999</v>
      </c>
      <c r="H79" s="49">
        <f>'Input data'!H33+H42-(H$12-G$12)/'Input data'!$C$64*100</f>
        <v>4.9674303750000002</v>
      </c>
      <c r="I79" s="49">
        <f>'Input data'!I33+I42-(I$12-H$12)/'Input data'!$C$64*100</f>
        <v>4.45550975</v>
      </c>
      <c r="J79" s="49">
        <f>'Input data'!J33+J42-(J$12-I$12)/'Input data'!$C$64*100</f>
        <v>4.2879221249999997</v>
      </c>
      <c r="K79" s="49">
        <f>'Input data'!K33+K42-(K$12-J$12)/'Input data'!$C$64*100</f>
        <v>4.1255884999999992</v>
      </c>
      <c r="L79" s="49">
        <f>'Input data'!L33+L42-(L$12-K$12)/'Input data'!$C$64*100</f>
        <v>4.0615158749999996</v>
      </c>
      <c r="M79" s="49">
        <f>'Input data'!M33+M42-(M$12-L$12)/'Input data'!$C$64*100</f>
        <v>4.0313812499999999</v>
      </c>
      <c r="N79" s="49">
        <f>'Input data'!N33+N42-(N$12-M$12)/'Input data'!$C$64*100</f>
        <v>4.0278136250000003</v>
      </c>
      <c r="O79" s="49">
        <f>'Input data'!O33+O42-(O$12-N$12)/'Input data'!$C$64*100</f>
        <v>4.0224489999999999</v>
      </c>
      <c r="P79" s="49">
        <f>'Input data'!P33+P42-(P$12-O$12)/'Input data'!$C$64*100</f>
        <v>4.0594190000000001</v>
      </c>
      <c r="Q79" s="49">
        <f>'Input data'!Q33+Q42-(Q$12-P$12)/'Input data'!$C$64*100</f>
        <v>4.0963899999999995</v>
      </c>
      <c r="R79" s="49">
        <f>'Input data'!R33+R42-(R$12-Q$12)/'Input data'!$C$64*100</f>
        <v>4.1333599999999997</v>
      </c>
      <c r="S79" s="49">
        <f>'Input data'!S33+S42-(S$12-R$12)/'Input data'!$C$64*100</f>
        <v>4.1927729999999999</v>
      </c>
      <c r="T79" s="49">
        <f>'Input data'!T33+T42-(T$12-S$12)/'Input data'!$C$64*100</f>
        <v>4.2194409999999998</v>
      </c>
      <c r="U79" s="49">
        <f>'Input data'!U33+U42-(U$12-T$12)/'Input data'!$C$64*100</f>
        <v>4.2574839999999998</v>
      </c>
      <c r="V79" s="49">
        <f>'Input data'!V33+V42-(V$12-U$12)/'Input data'!$C$64*100</f>
        <v>4.2998069999999995</v>
      </c>
      <c r="W79" s="49">
        <f>'Input data'!W33+W42-(W$12-V$12)/'Input data'!$C$64*100</f>
        <v>4.2395050000000003</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4.9061015625</v>
      </c>
      <c r="E81" s="34"/>
      <c r="F81" s="34"/>
      <c r="G81" s="34"/>
      <c r="H81" s="34"/>
      <c r="I81" s="36"/>
      <c r="J81" s="36"/>
      <c r="K81" s="36"/>
      <c r="L81" s="36"/>
      <c r="M81" s="34"/>
      <c r="N81" s="34"/>
      <c r="O81" s="34"/>
      <c r="P81" s="34"/>
      <c r="Q81" s="34"/>
      <c r="R81" s="34"/>
      <c r="S81" s="34"/>
      <c r="T81" s="34"/>
      <c r="U81" s="34"/>
      <c r="V81" s="34"/>
      <c r="W81" s="34"/>
    </row>
    <row r="82" spans="2:23" x14ac:dyDescent="0.2">
      <c r="B82" s="87"/>
      <c r="C82" s="77"/>
      <c r="D82" s="330"/>
      <c r="E82" s="34"/>
      <c r="F82" s="34"/>
      <c r="G82" s="34"/>
      <c r="H82" s="34"/>
      <c r="I82" s="36"/>
      <c r="J82" s="36"/>
      <c r="K82" s="36"/>
      <c r="L82" s="36"/>
      <c r="M82" s="34"/>
      <c r="N82" s="34"/>
      <c r="O82" s="34"/>
      <c r="P82" s="34"/>
      <c r="Q82" s="34"/>
      <c r="R82" s="34"/>
      <c r="S82" s="34"/>
      <c r="T82" s="34"/>
      <c r="U82" s="34"/>
      <c r="V82" s="34"/>
      <c r="W82" s="34"/>
    </row>
    <row r="83" spans="2:23" x14ac:dyDescent="0.2">
      <c r="B83" s="51" t="s">
        <v>217</v>
      </c>
      <c r="C83" s="51"/>
      <c r="D83" s="51"/>
      <c r="E83" s="51"/>
      <c r="F83" s="51"/>
      <c r="G83" s="258"/>
      <c r="H83" s="258"/>
      <c r="I83" s="258"/>
      <c r="J83" s="258"/>
      <c r="K83" s="258">
        <f t="shared" ref="K83:W83" si="29">IF(K57&lt;J57,0,1)</f>
        <v>0</v>
      </c>
      <c r="L83" s="258">
        <f t="shared" si="29"/>
        <v>0</v>
      </c>
      <c r="M83" s="258">
        <f t="shared" si="29"/>
        <v>0</v>
      </c>
      <c r="N83" s="258">
        <f t="shared" si="29"/>
        <v>0</v>
      </c>
      <c r="O83" s="258">
        <f t="shared" si="29"/>
        <v>0</v>
      </c>
      <c r="P83" s="258">
        <f t="shared" si="29"/>
        <v>0</v>
      </c>
      <c r="Q83" s="258">
        <f t="shared" si="29"/>
        <v>0</v>
      </c>
      <c r="R83" s="258">
        <f t="shared" si="29"/>
        <v>0</v>
      </c>
      <c r="S83" s="258">
        <f t="shared" si="29"/>
        <v>0</v>
      </c>
      <c r="T83" s="258">
        <f t="shared" si="29"/>
        <v>0</v>
      </c>
      <c r="U83" s="78">
        <f t="shared" si="29"/>
        <v>0</v>
      </c>
      <c r="V83" s="78">
        <f t="shared" si="29"/>
        <v>0</v>
      </c>
      <c r="W83" s="78">
        <f t="shared" si="29"/>
        <v>0</v>
      </c>
    </row>
    <row r="84" spans="2:23" x14ac:dyDescent="0.2">
      <c r="B84" s="77"/>
      <c r="C84" s="77"/>
      <c r="D84" s="78"/>
      <c r="E84" s="34"/>
      <c r="F84" s="34"/>
      <c r="G84" s="34"/>
      <c r="H84" s="34"/>
      <c r="I84" s="34"/>
      <c r="J84" s="34"/>
      <c r="K84" s="34"/>
      <c r="L84" s="34"/>
      <c r="M84" s="34"/>
      <c r="N84" s="34"/>
      <c r="O84" s="34"/>
      <c r="P84" s="34"/>
      <c r="Q84" s="34"/>
      <c r="R84" s="34"/>
      <c r="S84" s="34"/>
      <c r="T84" s="34"/>
      <c r="U84" s="34"/>
      <c r="V84" s="34"/>
      <c r="W84" s="34"/>
    </row>
    <row r="85" spans="2:23" s="93" customFormat="1" ht="12.75" outlineLevel="1" x14ac:dyDescent="0.2">
      <c r="B85" s="94" t="s">
        <v>124</v>
      </c>
      <c r="C85" s="95"/>
      <c r="E85" s="96"/>
      <c r="F85" s="95"/>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125</v>
      </c>
      <c r="D87" s="29">
        <f t="shared" ref="D87:W87" si="30">IF((D92-C92*D43/((1+D24/100)*(1+D42/100)))&gt;0,1,0)</f>
        <v>0</v>
      </c>
      <c r="E87" s="29">
        <f t="shared" si="30"/>
        <v>0</v>
      </c>
      <c r="F87" s="29">
        <f t="shared" si="30"/>
        <v>0</v>
      </c>
      <c r="G87" s="29">
        <f t="shared" si="30"/>
        <v>0</v>
      </c>
      <c r="H87" s="29">
        <f t="shared" si="30"/>
        <v>0</v>
      </c>
      <c r="I87" s="29">
        <f t="shared" si="30"/>
        <v>0</v>
      </c>
      <c r="J87" s="29">
        <f t="shared" si="30"/>
        <v>0</v>
      </c>
      <c r="K87" s="29">
        <f t="shared" si="30"/>
        <v>0</v>
      </c>
      <c r="L87" s="29">
        <f t="shared" si="30"/>
        <v>0</v>
      </c>
      <c r="M87" s="29">
        <f t="shared" si="30"/>
        <v>0</v>
      </c>
      <c r="N87" s="29">
        <f t="shared" si="30"/>
        <v>0</v>
      </c>
      <c r="O87" s="29">
        <f t="shared" si="30"/>
        <v>0</v>
      </c>
      <c r="P87" s="29">
        <f t="shared" si="30"/>
        <v>0</v>
      </c>
      <c r="Q87" s="29">
        <f t="shared" si="30"/>
        <v>0</v>
      </c>
      <c r="R87" s="29">
        <f t="shared" si="30"/>
        <v>0</v>
      </c>
      <c r="S87" s="29">
        <f t="shared" si="30"/>
        <v>0</v>
      </c>
      <c r="T87" s="29">
        <f t="shared" si="30"/>
        <v>0</v>
      </c>
      <c r="U87" s="29">
        <f t="shared" si="30"/>
        <v>0</v>
      </c>
      <c r="V87" s="29">
        <f t="shared" si="30"/>
        <v>0</v>
      </c>
      <c r="W87" s="29">
        <f t="shared" si="30"/>
        <v>0</v>
      </c>
    </row>
    <row r="88" spans="2:23" x14ac:dyDescent="0.2">
      <c r="B88" s="26" t="s">
        <v>126</v>
      </c>
      <c r="D88" s="29">
        <f t="shared" ref="D88:W88" si="31">IF(AND(D87=0,ABS(D92-C92*D43/((1+D24/100)*(1+D42/100)))&lt;((C98*C92*D43/((1+D24/100)*(1+D42/100))+(D39*C92*C99*D43/((1+D24/100)*(1+D42/100)))))),1,0)</f>
        <v>0</v>
      </c>
      <c r="E88" s="29">
        <f t="shared" si="31"/>
        <v>1</v>
      </c>
      <c r="F88" s="29">
        <f t="shared" si="31"/>
        <v>1</v>
      </c>
      <c r="G88" s="29">
        <f t="shared" si="31"/>
        <v>1</v>
      </c>
      <c r="H88" s="29">
        <f t="shared" si="31"/>
        <v>1</v>
      </c>
      <c r="I88" s="29">
        <f t="shared" si="31"/>
        <v>1</v>
      </c>
      <c r="J88" s="29">
        <f t="shared" si="31"/>
        <v>1</v>
      </c>
      <c r="K88" s="29">
        <f t="shared" si="31"/>
        <v>1</v>
      </c>
      <c r="L88" s="29">
        <f t="shared" si="31"/>
        <v>1</v>
      </c>
      <c r="M88" s="29">
        <f t="shared" si="31"/>
        <v>1</v>
      </c>
      <c r="N88" s="29">
        <f t="shared" si="31"/>
        <v>1</v>
      </c>
      <c r="O88" s="29">
        <f t="shared" si="31"/>
        <v>1</v>
      </c>
      <c r="P88" s="29">
        <f t="shared" si="31"/>
        <v>1</v>
      </c>
      <c r="Q88" s="29">
        <f t="shared" si="31"/>
        <v>1</v>
      </c>
      <c r="R88" s="29">
        <f t="shared" si="31"/>
        <v>1</v>
      </c>
      <c r="S88" s="29">
        <f t="shared" si="31"/>
        <v>1</v>
      </c>
      <c r="T88" s="29">
        <f t="shared" si="31"/>
        <v>1</v>
      </c>
      <c r="U88" s="29">
        <f t="shared" si="31"/>
        <v>0</v>
      </c>
      <c r="V88" s="29">
        <f t="shared" si="31"/>
        <v>0</v>
      </c>
      <c r="W88" s="29">
        <f t="shared" si="31"/>
        <v>0</v>
      </c>
    </row>
    <row r="90" spans="2:23" x14ac:dyDescent="0.2">
      <c r="H90" s="38"/>
      <c r="I90" s="38"/>
      <c r="J90" s="38"/>
      <c r="K90" s="38"/>
      <c r="L90" s="38"/>
      <c r="M90" s="38"/>
      <c r="N90" s="38"/>
      <c r="O90" s="38"/>
      <c r="P90" s="38"/>
      <c r="Q90" s="38"/>
      <c r="R90" s="38"/>
      <c r="S90" s="38"/>
      <c r="T90" s="38"/>
    </row>
    <row r="91" spans="2:23" x14ac:dyDescent="0.2">
      <c r="B91" s="51"/>
      <c r="C91" s="86">
        <v>2021</v>
      </c>
      <c r="D91" s="86">
        <v>2022</v>
      </c>
      <c r="E91" s="86">
        <v>2023</v>
      </c>
      <c r="F91" s="86">
        <v>2024</v>
      </c>
      <c r="G91" s="86">
        <v>2025</v>
      </c>
      <c r="H91" s="86">
        <v>2026</v>
      </c>
      <c r="I91" s="86">
        <v>2027</v>
      </c>
      <c r="J91" s="86">
        <v>2028</v>
      </c>
      <c r="K91" s="86">
        <v>2029</v>
      </c>
      <c r="L91" s="86">
        <v>2030</v>
      </c>
      <c r="M91" s="86">
        <v>2031</v>
      </c>
      <c r="N91" s="86">
        <v>2032</v>
      </c>
      <c r="O91" s="86">
        <v>2033</v>
      </c>
      <c r="P91" s="86">
        <v>2034</v>
      </c>
      <c r="Q91" s="86">
        <v>2035</v>
      </c>
      <c r="R91" s="86">
        <v>2036</v>
      </c>
      <c r="S91" s="86">
        <v>2037</v>
      </c>
      <c r="T91" s="86">
        <v>2038</v>
      </c>
      <c r="U91" s="86">
        <v>2039</v>
      </c>
      <c r="V91" s="86">
        <v>2040</v>
      </c>
      <c r="W91" s="86">
        <v>2041</v>
      </c>
    </row>
    <row r="92" spans="2:23" x14ac:dyDescent="0.2">
      <c r="B92" s="106" t="s">
        <v>104</v>
      </c>
      <c r="C92" s="110">
        <f>C57</f>
        <v>99.250230000000002</v>
      </c>
      <c r="D92" s="110">
        <f>D57</f>
        <v>85.595287844886869</v>
      </c>
      <c r="E92" s="110">
        <f>E57</f>
        <v>77.284440321959977</v>
      </c>
      <c r="F92" s="110">
        <f>F57</f>
        <v>70.579945075187567</v>
      </c>
      <c r="G92" s="110">
        <f>G57</f>
        <v>65.467738950078513</v>
      </c>
      <c r="H92" s="110">
        <f t="shared" ref="H92:W92" si="32">G92*(1+H106/100)*H43-H60-H61+H62+H63+H64+H65+H66+H72</f>
        <v>59.991048043186375</v>
      </c>
      <c r="I92" s="110">
        <f t="shared" si="32"/>
        <v>55.344336413083951</v>
      </c>
      <c r="J92" s="110">
        <f t="shared" si="32"/>
        <v>50.929639670376446</v>
      </c>
      <c r="K92" s="110">
        <f t="shared" si="32"/>
        <v>46.496687645996076</v>
      </c>
      <c r="L92" s="110">
        <f t="shared" si="32"/>
        <v>42.459373869564104</v>
      </c>
      <c r="M92" s="110">
        <f t="shared" si="32"/>
        <v>38.775312732290452</v>
      </c>
      <c r="N92" s="110">
        <f t="shared" si="32"/>
        <v>35.374126048899576</v>
      </c>
      <c r="O92" s="110">
        <f t="shared" si="32"/>
        <v>32.262514939085712</v>
      </c>
      <c r="P92" s="110">
        <f t="shared" si="32"/>
        <v>29.340409626930629</v>
      </c>
      <c r="Q92" s="110">
        <f t="shared" si="32"/>
        <v>26.665659419907424</v>
      </c>
      <c r="R92" s="110">
        <f t="shared" si="32"/>
        <v>24.168336235214824</v>
      </c>
      <c r="S92" s="110">
        <f t="shared" si="32"/>
        <v>21.808684985207471</v>
      </c>
      <c r="T92" s="110">
        <f t="shared" si="32"/>
        <v>19.585857825183712</v>
      </c>
      <c r="U92" s="110">
        <f t="shared" si="32"/>
        <v>17.188179668616968</v>
      </c>
      <c r="V92" s="110">
        <f t="shared" si="32"/>
        <v>15.006288509813091</v>
      </c>
      <c r="W92" s="110">
        <f t="shared" si="32"/>
        <v>12.883662123244543</v>
      </c>
    </row>
    <row r="93" spans="2:23" x14ac:dyDescent="0.2">
      <c r="B93" s="26" t="s">
        <v>127</v>
      </c>
      <c r="C93" s="34"/>
      <c r="D93" s="254">
        <f>'Input data'!C66*$D$92</f>
        <v>80.579287385165813</v>
      </c>
      <c r="E93" s="34">
        <f t="shared" ref="E93:W93" si="33">IF(E92=0,0,IF(E87=1,D92*E43/((1+E24/100)*(1+E42/100))-E94-E95,IF(AND(E87=0,E88=1),(1-D98-E39*D99)*D92*E43/((1+E24/100)*(1+E42/100)),E92)))</f>
        <v>74.184299752358967</v>
      </c>
      <c r="F93" s="34">
        <f t="shared" si="33"/>
        <v>65.060117711874639</v>
      </c>
      <c r="G93" s="34">
        <f t="shared" si="33"/>
        <v>58.819172918048189</v>
      </c>
      <c r="H93" s="34">
        <f t="shared" si="33"/>
        <v>53.699099566552945</v>
      </c>
      <c r="I93" s="34">
        <f t="shared" si="33"/>
        <v>49.655082806150212</v>
      </c>
      <c r="J93" s="34">
        <f t="shared" si="33"/>
        <v>45.512505366619386</v>
      </c>
      <c r="K93" s="34">
        <f t="shared" si="33"/>
        <v>42.029998026493971</v>
      </c>
      <c r="L93" s="34">
        <f t="shared" si="33"/>
        <v>39.032274013239991</v>
      </c>
      <c r="M93" s="34">
        <f t="shared" si="33"/>
        <v>35.530997494807188</v>
      </c>
      <c r="N93" s="34">
        <f t="shared" si="33"/>
        <v>34.558305163936765</v>
      </c>
      <c r="O93" s="34">
        <f t="shared" si="33"/>
        <v>31.654506391783301</v>
      </c>
      <c r="P93" s="34">
        <f t="shared" si="33"/>
        <v>28.882195540034843</v>
      </c>
      <c r="Q93" s="34">
        <f t="shared" si="33"/>
        <v>26.256574443700291</v>
      </c>
      <c r="R93" s="34">
        <f t="shared" si="33"/>
        <v>23.865004466641071</v>
      </c>
      <c r="S93" s="34">
        <f t="shared" si="33"/>
        <v>21.581298630363925</v>
      </c>
      <c r="T93" s="34">
        <f t="shared" si="33"/>
        <v>19.52329105812446</v>
      </c>
      <c r="U93" s="34">
        <f t="shared" si="33"/>
        <v>17.188179668616968</v>
      </c>
      <c r="V93" s="34">
        <f t="shared" si="33"/>
        <v>15.006288509813091</v>
      </c>
      <c r="W93" s="34">
        <f t="shared" si="33"/>
        <v>12.883662123244543</v>
      </c>
    </row>
    <row r="94" spans="2:23" x14ac:dyDescent="0.2">
      <c r="B94" s="105" t="s">
        <v>128</v>
      </c>
      <c r="C94" s="34"/>
      <c r="D94" s="254">
        <f>'Input data'!C67*$D$92</f>
        <v>4.0611173722051426</v>
      </c>
      <c r="E94" s="34">
        <f t="shared" ref="E94:W94" si="34">IF(E92=0,0,IF(E87=1,E39*D92*D99*E43/((1+E24/100)*(1+E42/100)),IF(AND(E87=0,E88=1),(E39*D92*D99*E43/((1+E24/100)*(1+E42/100)))*(1-ABS(E92-D92*E43/((1+E24/100)*(1+E42/100)))/((E39*D92*D99*E43/((1+E24/100)*(1+E42/100)))+(D98*D92*E43/((1+E24/100)*(1+E42/100))))),0)))</f>
        <v>2.6058483973222213</v>
      </c>
      <c r="F94" s="34">
        <f t="shared" si="34"/>
        <v>5.1759171739107712</v>
      </c>
      <c r="G94" s="34">
        <f t="shared" si="34"/>
        <v>6.3811475370972586</v>
      </c>
      <c r="H94" s="34">
        <f t="shared" si="34"/>
        <v>6.1104905546643487</v>
      </c>
      <c r="I94" s="34">
        <f t="shared" si="34"/>
        <v>5.5656309792495504</v>
      </c>
      <c r="J94" s="34">
        <f t="shared" si="34"/>
        <v>5.3331674336658734</v>
      </c>
      <c r="K94" s="34">
        <f t="shared" si="34"/>
        <v>4.4142231064095441</v>
      </c>
      <c r="L94" s="34">
        <f t="shared" si="34"/>
        <v>3.3964358759633804</v>
      </c>
      <c r="M94" s="34">
        <f t="shared" si="34"/>
        <v>3.2261692571075273</v>
      </c>
      <c r="N94" s="34">
        <f t="shared" si="34"/>
        <v>0.81055627933492325</v>
      </c>
      <c r="O94" s="34">
        <f t="shared" si="34"/>
        <v>0.60669370044255577</v>
      </c>
      <c r="P94" s="34">
        <f t="shared" si="34"/>
        <v>0.45793981701202541</v>
      </c>
      <c r="Q94" s="34">
        <f t="shared" si="34"/>
        <v>0.40902881384191642</v>
      </c>
      <c r="R94" s="34">
        <f t="shared" si="34"/>
        <v>0.30332232740418918</v>
      </c>
      <c r="S94" s="34">
        <f t="shared" si="34"/>
        <v>0.22738507160822716</v>
      </c>
      <c r="T94" s="34">
        <f t="shared" si="34"/>
        <v>6.2566711806775005E-2</v>
      </c>
      <c r="U94" s="34">
        <f t="shared" si="34"/>
        <v>0</v>
      </c>
      <c r="V94" s="34">
        <f t="shared" si="34"/>
        <v>0</v>
      </c>
      <c r="W94" s="34">
        <f t="shared" si="34"/>
        <v>0</v>
      </c>
    </row>
    <row r="95" spans="2:23" x14ac:dyDescent="0.2">
      <c r="B95" s="105" t="s">
        <v>129</v>
      </c>
      <c r="C95" s="34"/>
      <c r="D95" s="254">
        <f>'Input data'!C68*$D$92</f>
        <v>0.95488418751601412</v>
      </c>
      <c r="E95" s="34">
        <f t="shared" ref="E95:W95" si="35">IF(E92=0,0,IF(E87=1,(1-D99)*D92*E43/((1+E24/100)*(1+E42/100)),IF(AND(E87=0,E88=1),(D98*D92*E43/((1+E24/100)*(1+E42/100)))*(1-ABS(E92-D92*E43/((1+E24/100)*(1+E42/100)))/((E39*D92*D99*E43/((1+E24/100)*(1+E42/100)))+(D98*D92*E43/((1+E24/100)*(1+E42/100))))),0)))</f>
        <v>0.49429217227879385</v>
      </c>
      <c r="F95" s="34">
        <f t="shared" si="35"/>
        <v>0.34391018940216095</v>
      </c>
      <c r="G95" s="34">
        <f t="shared" si="35"/>
        <v>0.26741849493307074</v>
      </c>
      <c r="H95" s="34">
        <f t="shared" si="35"/>
        <v>0.18145792196909175</v>
      </c>
      <c r="I95" s="34">
        <f t="shared" si="35"/>
        <v>0.12362262768419337</v>
      </c>
      <c r="J95" s="34">
        <f t="shared" si="35"/>
        <v>8.3966870091188764E-2</v>
      </c>
      <c r="K95" s="34">
        <f t="shared" si="35"/>
        <v>5.2466513092552541E-2</v>
      </c>
      <c r="L95" s="34">
        <f t="shared" si="35"/>
        <v>3.0663980360727802E-2</v>
      </c>
      <c r="M95" s="34">
        <f t="shared" si="35"/>
        <v>1.814598037573821E-2</v>
      </c>
      <c r="N95" s="34">
        <f t="shared" si="35"/>
        <v>5.2646056278890596E-3</v>
      </c>
      <c r="O95" s="34">
        <f t="shared" si="35"/>
        <v>1.3148468598516609E-3</v>
      </c>
      <c r="P95" s="34">
        <f t="shared" si="35"/>
        <v>2.7426988376361969E-4</v>
      </c>
      <c r="Q95" s="34">
        <f t="shared" si="35"/>
        <v>5.6162365215937796E-5</v>
      </c>
      <c r="R95" s="34">
        <f t="shared" si="35"/>
        <v>9.441169562582025E-6</v>
      </c>
      <c r="S95" s="34">
        <f t="shared" si="35"/>
        <v>1.283235318611989E-6</v>
      </c>
      <c r="T95" s="34">
        <f t="shared" si="35"/>
        <v>5.525247505201851E-8</v>
      </c>
      <c r="U95" s="34">
        <f t="shared" si="35"/>
        <v>0</v>
      </c>
      <c r="V95" s="34">
        <f t="shared" si="35"/>
        <v>0</v>
      </c>
      <c r="W95" s="34">
        <f t="shared" si="35"/>
        <v>0</v>
      </c>
    </row>
    <row r="96" spans="2:23" x14ac:dyDescent="0.2">
      <c r="B96" s="105" t="s">
        <v>130</v>
      </c>
      <c r="C96" s="34"/>
      <c r="D96" s="254">
        <f>'Input data'!C69*$D$92</f>
        <v>0</v>
      </c>
      <c r="E96" s="34">
        <f>IF(E92=0,0,IF(E87=1,'Input data'!$C$58*(E92-D92*E43/((1+E24/100)*(1+E42/100))),0))</f>
        <v>0</v>
      </c>
      <c r="F96" s="34">
        <f>IF(F92=0,0,IF(F87=1,'Input data'!$C$58*(F92-E92*F43/((1+F24/100)*(1+F42/100))),0))</f>
        <v>0</v>
      </c>
      <c r="G96" s="34">
        <f>IF(G92=0,0,IF(G87=1,'Input data'!$C$58*(G92-F92*G43/((1+G24/100)*(1+G42/100))),0))</f>
        <v>0</v>
      </c>
      <c r="H96" s="34">
        <f>IF(H92=0,0,IF(H87=1,'Input data'!$C$58*(H92-G92*H43/((1+H24/100)*(1+H42/100))),0))</f>
        <v>0</v>
      </c>
      <c r="I96" s="34">
        <f>IF(I92=0,0,IF(I87=1,'Input data'!$C$58*(I92-H92*I43/((1+I24/100)*(1+I42/100))),0))</f>
        <v>0</v>
      </c>
      <c r="J96" s="34">
        <f>IF(J92=0,0,IF(J87=1,'Input data'!$C$58*(J92-I92*J43/((1+J24/100)*(1+J42/100))),0))</f>
        <v>0</v>
      </c>
      <c r="K96" s="34">
        <f>IF(K92=0,0,IF(K87=1,'Input data'!$C$58*(K92-J92*K43/((1+K24/100)*(1+K42/100))),0))</f>
        <v>0</v>
      </c>
      <c r="L96" s="34">
        <f>IF(L92=0,0,IF(L87=1,'Input data'!$C$58*(L92-K92*L43/((1+L24/100)*(1+L42/100))),0))</f>
        <v>0</v>
      </c>
      <c r="M96" s="34">
        <f>IF(M92=0,0,IF(M87=1,'Input data'!$C$58*(M92-L92*M43/((1+M24/100)*(1+M42/100))),0))</f>
        <v>0</v>
      </c>
      <c r="N96" s="34">
        <f>IF(N92=0,0,IF(N87=1,'Input data'!$C$58*(N92-M92*N43/((1+N24/100)*(1+N42/100))),0))</f>
        <v>0</v>
      </c>
      <c r="O96" s="34">
        <f>IF(O92=0,0,IF(O87=1,'Input data'!$C$58*(O92-N92*O43/((1+O24/100)*(1+O42/100))),0))</f>
        <v>0</v>
      </c>
      <c r="P96" s="34">
        <f>IF(P92=0,0,IF(P87=1,'Input data'!$C$58*(P92-O92*P43/((1+P24/100)*(1+P42/100))),0))</f>
        <v>0</v>
      </c>
      <c r="Q96" s="34">
        <f>IF(Q92=0,0,IF(Q87=1,'Input data'!$C$58*(Q92-P92*Q43/((1+Q24/100)*(1+Q42/100))),0))</f>
        <v>0</v>
      </c>
      <c r="R96" s="34">
        <f>IF(R92=0,0,IF(R87=1,'Input data'!$C$58*(R92-Q92*R43/((1+R24/100)*(1+R42/100))),0))</f>
        <v>0</v>
      </c>
      <c r="S96" s="34">
        <f>IF(S92=0,0,IF(S87=1,'Input data'!$C$58*(S92-R92*S43/((1+S24/100)*(1+S42/100))),0))</f>
        <v>0</v>
      </c>
      <c r="T96" s="34">
        <f>IF(T92=0,0,IF(T87=1,'Input data'!$C$58*(T92-S92*T43/((1+T24/100)*(1+T42/100))),0))</f>
        <v>0</v>
      </c>
      <c r="U96" s="34">
        <f>IF(U92=0,0,IF(U87=1,'Input data'!$C$58*(U92-T92*U43/((1+U24/100)*(1+U42/100))),0))</f>
        <v>0</v>
      </c>
      <c r="V96" s="34">
        <f>IF(V92=0,0,IF(V87=1,'Input data'!$C$58*(V92-U92*V43/((1+V24/100)*(1+V42/100))),0))</f>
        <v>0</v>
      </c>
      <c r="W96" s="34">
        <f>IF(W92=0,0,IF(W87=1,'Input data'!$C$58*(W92-V92*W43/((1+W24/100)*(1+W42/100))),0))</f>
        <v>0</v>
      </c>
    </row>
    <row r="97" spans="2:25" x14ac:dyDescent="0.2">
      <c r="B97" s="107" t="s">
        <v>131</v>
      </c>
      <c r="C97" s="49"/>
      <c r="D97" s="255">
        <f>'Input data'!C70*$D$92</f>
        <v>0</v>
      </c>
      <c r="E97" s="49">
        <f>IF(E92=0,0,IF(E87=1,'Input data'!$C$57*(E92-D92*E43/((1+E24/100)*(1+E42/100))),0))</f>
        <v>0</v>
      </c>
      <c r="F97" s="49">
        <f>IF(F92=0,0,IF(F87=1,'Input data'!$C$57*(F92-E92*F43/((1+F24/100)*(1+F42/100))),0))</f>
        <v>0</v>
      </c>
      <c r="G97" s="49">
        <f>IF(G92=0,0,IF(G87=1,'Input data'!$C$57*(G92-F92*G43/((1+G24/100)*(1+G42/100))),0))</f>
        <v>0</v>
      </c>
      <c r="H97" s="49">
        <f>IF(H92=0,0,IF(H87=1,'Input data'!$C$57*(H92-G92*H43/((1+H24/100)*(1+H42/100))),0))</f>
        <v>0</v>
      </c>
      <c r="I97" s="49">
        <f>IF(I92=0,0,IF(I87=1,'Input data'!$C$57*(I92-H92*I43/((1+I24/100)*(1+I42/100))),0))</f>
        <v>0</v>
      </c>
      <c r="J97" s="49">
        <f>IF(J92=0,0,IF(J87=1,'Input data'!$C$57*(J92-I92*J43/((1+J24/100)*(1+J42/100))),0))</f>
        <v>0</v>
      </c>
      <c r="K97" s="49">
        <f>IF(K92=0,0,IF(K87=1,'Input data'!$C$57*(K92-J92*K43/((1+K24/100)*(1+K42/100))),0))</f>
        <v>0</v>
      </c>
      <c r="L97" s="49">
        <f>IF(L92=0,0,IF(L87=1,'Input data'!$C$57*(L92-K92*L43/((1+L24/100)*(1+L42/100))),0))</f>
        <v>0</v>
      </c>
      <c r="M97" s="49">
        <f>IF(M92=0,0,IF(M87=1,'Input data'!$C$57*(M92-L92*M43/((1+M24/100)*(1+M42/100))),0))</f>
        <v>0</v>
      </c>
      <c r="N97" s="49">
        <f>IF(N92=0,0,IF(N87=1,'Input data'!$C$57*(N92-M92*N43/((1+N24/100)*(1+N42/100))),0))</f>
        <v>0</v>
      </c>
      <c r="O97" s="49">
        <f>IF(O92=0,0,IF(O87=1,'Input data'!$C$57*(O92-N92*O43/((1+O24/100)*(1+O42/100))),0))</f>
        <v>0</v>
      </c>
      <c r="P97" s="49">
        <f>IF(P92=0,0,IF(P87=1,'Input data'!$C$57*(P92-O92*P43/((1+P24/100)*(1+P42/100))),0))</f>
        <v>0</v>
      </c>
      <c r="Q97" s="49">
        <f>IF(Q92=0,0,IF(Q87=1,'Input data'!$C$57*(Q92-P92*Q43/((1+Q24/100)*(1+Q42/100))),0))</f>
        <v>0</v>
      </c>
      <c r="R97" s="49">
        <f>IF(R92=0,0,IF(R87=1,'Input data'!$C$57*(R92-Q92*R43/((1+R24/100)*(1+R42/100))),0))</f>
        <v>0</v>
      </c>
      <c r="S97" s="49">
        <f>IF(S92=0,0,IF(S87=1,'Input data'!$C$57*(S92-R92*S43/((1+S24/100)*(1+S42/100))),0))</f>
        <v>0</v>
      </c>
      <c r="T97" s="49">
        <f>IF(T92=0,0,IF(T87=1,'Input data'!$C$57*(T92-S92*T43/((1+T24/100)*(1+T42/100))),0))</f>
        <v>0</v>
      </c>
      <c r="U97" s="49">
        <f>IF(U92=0,0,IF(U87=1,'Input data'!$C$57*(U92-T92*U43/((1+U24/100)*(1+U42/100))),0))</f>
        <v>0</v>
      </c>
      <c r="V97" s="49">
        <f>IF(V92=0,0,IF(V87=1,'Input data'!$C$57*(V92-U92*V43/((1+V24/100)*(1+V42/100))),0))</f>
        <v>0</v>
      </c>
      <c r="W97" s="49">
        <f>IF(W92=0,0,IF(W87=1,'Input data'!$C$57*(W92-V92*W43/((1+W24/100)*(1+W42/100))),0))</f>
        <v>0</v>
      </c>
    </row>
    <row r="98" spans="2:25" x14ac:dyDescent="0.2">
      <c r="B98" s="26" t="s">
        <v>73</v>
      </c>
      <c r="C98" s="36"/>
      <c r="D98" s="260">
        <f>'Baseline NFPC'!$D$93</f>
        <v>1.1155790366010776E-2</v>
      </c>
      <c r="E98" s="36">
        <f t="shared" ref="E98:W98" si="36">IF(E92&lt;&gt;0,(E95+E97)/(E93+E94+E95+E96+E97),0)</f>
        <v>6.3957527572124145E-3</v>
      </c>
      <c r="F98" s="36">
        <f t="shared" si="36"/>
        <v>4.8726332818168029E-3</v>
      </c>
      <c r="G98" s="36">
        <f t="shared" si="36"/>
        <v>4.0847369898781277E-3</v>
      </c>
      <c r="H98" s="36">
        <f t="shared" si="36"/>
        <v>3.0247499900062373E-3</v>
      </c>
      <c r="I98" s="36">
        <f t="shared" si="36"/>
        <v>2.233699700751453E-3</v>
      </c>
      <c r="J98" s="36">
        <f t="shared" si="36"/>
        <v>1.6486837651833739E-3</v>
      </c>
      <c r="K98" s="36">
        <f t="shared" si="36"/>
        <v>1.1283924887727039E-3</v>
      </c>
      <c r="L98" s="36">
        <f t="shared" si="36"/>
        <v>7.2219577365714477E-4</v>
      </c>
      <c r="M98" s="36">
        <f t="shared" si="36"/>
        <v>4.6797766664115131E-4</v>
      </c>
      <c r="N98" s="36">
        <f t="shared" si="36"/>
        <v>1.4882645074005529E-4</v>
      </c>
      <c r="O98" s="36">
        <f t="shared" si="36"/>
        <v>4.0754630019829529E-5</v>
      </c>
      <c r="P98" s="36">
        <f t="shared" si="36"/>
        <v>9.3478546227206063E-6</v>
      </c>
      <c r="Q98" s="36">
        <f t="shared" si="36"/>
        <v>2.1061682492655484E-6</v>
      </c>
      <c r="R98" s="36">
        <f t="shared" si="36"/>
        <v>3.9064209760643895E-7</v>
      </c>
      <c r="S98" s="36">
        <f t="shared" si="36"/>
        <v>5.8840563724148875E-8</v>
      </c>
      <c r="T98" s="36">
        <f t="shared" si="36"/>
        <v>2.8210393205741683E-9</v>
      </c>
      <c r="U98" s="36">
        <f>IF(U92&lt;&gt;0,(U95+U97)/(U93+U94+U95+U96+U97),0)</f>
        <v>0</v>
      </c>
      <c r="V98" s="36">
        <f t="shared" si="36"/>
        <v>0</v>
      </c>
      <c r="W98" s="34">
        <f t="shared" si="36"/>
        <v>0</v>
      </c>
    </row>
    <row r="99" spans="2:25" x14ac:dyDescent="0.2">
      <c r="B99" s="35" t="s">
        <v>74</v>
      </c>
      <c r="C99" s="108"/>
      <c r="D99" s="261">
        <f>'Baseline NFPC'!$D$94</f>
        <v>0.98884420963398922</v>
      </c>
      <c r="E99" s="108">
        <f t="shared" ref="E99:W99" si="37">IF(E92&lt;&gt;0,(E93+E94+E96)/(E93+E94+E95+E96+E97),1)</f>
        <v>0.99360424724278762</v>
      </c>
      <c r="F99" s="108">
        <f t="shared" si="37"/>
        <v>0.99512736671818314</v>
      </c>
      <c r="G99" s="108">
        <f t="shared" si="37"/>
        <v>0.9959152630101219</v>
      </c>
      <c r="H99" s="108">
        <f t="shared" si="37"/>
        <v>0.99697525000999376</v>
      </c>
      <c r="I99" s="108">
        <f t="shared" si="37"/>
        <v>0.99776630029924862</v>
      </c>
      <c r="J99" s="108">
        <f t="shared" si="37"/>
        <v>0.99835131623481665</v>
      </c>
      <c r="K99" s="108">
        <f t="shared" si="37"/>
        <v>0.99887160751122728</v>
      </c>
      <c r="L99" s="108">
        <f t="shared" si="37"/>
        <v>0.99927780422634283</v>
      </c>
      <c r="M99" s="108">
        <f t="shared" si="37"/>
        <v>0.99953202233335892</v>
      </c>
      <c r="N99" s="108">
        <f t="shared" si="37"/>
        <v>0.99985117354926001</v>
      </c>
      <c r="O99" s="108">
        <f t="shared" si="37"/>
        <v>0.99995924536998027</v>
      </c>
      <c r="P99" s="108">
        <f t="shared" si="37"/>
        <v>0.9999906521453773</v>
      </c>
      <c r="Q99" s="108">
        <f t="shared" si="37"/>
        <v>0.99999789383175075</v>
      </c>
      <c r="R99" s="108">
        <f t="shared" si="37"/>
        <v>0.99999960935790233</v>
      </c>
      <c r="S99" s="108">
        <f t="shared" si="37"/>
        <v>0.99999994115943636</v>
      </c>
      <c r="T99" s="108">
        <f t="shared" si="37"/>
        <v>0.99999999717896071</v>
      </c>
      <c r="U99" s="108">
        <f t="shared" si="37"/>
        <v>1</v>
      </c>
      <c r="V99" s="108">
        <f t="shared" si="37"/>
        <v>1</v>
      </c>
      <c r="W99" s="49">
        <f t="shared" si="37"/>
        <v>1</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3" t="s">
        <v>132</v>
      </c>
      <c r="C101" s="115">
        <f>'Baseline NFPC'!C96</f>
        <v>1.716024</v>
      </c>
      <c r="D101" s="115">
        <f>'Baseline NFPC'!D96</f>
        <v>1.648296</v>
      </c>
      <c r="E101" s="115">
        <f>'Baseline NFPC'!E96</f>
        <v>1.80772</v>
      </c>
      <c r="F101" s="115">
        <f>'Baseline NFPC'!F96</f>
        <v>1.9077200000000001</v>
      </c>
      <c r="G101" s="115">
        <f>'Baseline NFPC'!G96</f>
        <v>1.9077200000000001</v>
      </c>
      <c r="H101" s="115">
        <f t="shared" ref="H101:W101" si="38">H103+H104</f>
        <v>2.0510578068871177</v>
      </c>
      <c r="I101" s="115">
        <f t="shared" si="38"/>
        <v>2.1928297708470597</v>
      </c>
      <c r="J101" s="115">
        <f>J103+J104</f>
        <v>2.3254135666366342</v>
      </c>
      <c r="K101" s="115">
        <f t="shared" si="38"/>
        <v>2.456688810666209</v>
      </c>
      <c r="L101" s="115">
        <f t="shared" si="38"/>
        <v>2.5695749739605018</v>
      </c>
      <c r="M101" s="115">
        <f t="shared" si="38"/>
        <v>2.6610083125532871</v>
      </c>
      <c r="N101" s="115">
        <f t="shared" si="38"/>
        <v>2.7540713789584186</v>
      </c>
      <c r="O101" s="115">
        <f t="shared" si="38"/>
        <v>2.7790985417613721</v>
      </c>
      <c r="P101" s="115">
        <f t="shared" si="38"/>
        <v>2.7993131071539921</v>
      </c>
      <c r="Q101" s="115">
        <f t="shared" si="38"/>
        <v>2.81589510571595</v>
      </c>
      <c r="R101" s="115">
        <f t="shared" si="38"/>
        <v>2.8320534161572186</v>
      </c>
      <c r="S101" s="115">
        <f t="shared" si="38"/>
        <v>2.8451672602399016</v>
      </c>
      <c r="T101" s="115">
        <f t="shared" si="38"/>
        <v>2.8560049688341924</v>
      </c>
      <c r="U101" s="115">
        <f t="shared" si="38"/>
        <v>2.8593154301133357</v>
      </c>
      <c r="V101" s="115">
        <f t="shared" si="38"/>
        <v>2.8593154311036688</v>
      </c>
      <c r="W101" s="115">
        <f t="shared" si="38"/>
        <v>2.8593154311036688</v>
      </c>
    </row>
    <row r="102" spans="2:25" x14ac:dyDescent="0.2">
      <c r="B102" s="33" t="s">
        <v>133</v>
      </c>
      <c r="C102" s="34"/>
      <c r="D102" s="34"/>
      <c r="E102" s="266">
        <f>((E36*D92)-(E38*(D95+D97)))/(D93+D94+D96)</f>
        <v>1.789417966678488</v>
      </c>
      <c r="F102" s="266">
        <f>((F36*E92)-(F38*(E95+E97)))/(E93+E94+E96)</f>
        <v>1.8970573164187969</v>
      </c>
      <c r="G102" s="266">
        <f>((G36*F92)-(G38*(F95+F97)))/(F93+F94+F96)</f>
        <v>1.903270777978008</v>
      </c>
      <c r="H102" s="34">
        <f t="shared" ref="H102:W102" si="39">IF(G92&gt;0,(G102*G93+H37*(G96+G94))/(G93+G94+G96),H37)</f>
        <v>2.0479651535739261</v>
      </c>
      <c r="I102" s="34">
        <f t="shared" si="39"/>
        <v>2.1910064597493979</v>
      </c>
      <c r="J102" s="34">
        <f t="shared" si="39"/>
        <v>2.3243902465315935</v>
      </c>
      <c r="K102" s="34">
        <f t="shared" si="39"/>
        <v>2.4561693712007502</v>
      </c>
      <c r="L102" s="34">
        <f t="shared" si="39"/>
        <v>2.5693599170687147</v>
      </c>
      <c r="M102" s="34">
        <f t="shared" si="39"/>
        <v>2.6609449642224177</v>
      </c>
      <c r="N102" s="34">
        <f t="shared" si="39"/>
        <v>2.7540791958565327</v>
      </c>
      <c r="O102" s="34">
        <f t="shared" si="39"/>
        <v>2.7791064320087786</v>
      </c>
      <c r="P102" s="34">
        <f t="shared" si="39"/>
        <v>2.7993175710930251</v>
      </c>
      <c r="Q102" s="34">
        <f t="shared" si="39"/>
        <v>2.815896623953591</v>
      </c>
      <c r="R102" s="34">
        <f t="shared" si="39"/>
        <v>2.8320538687251102</v>
      </c>
      <c r="S102" s="34">
        <f t="shared" si="39"/>
        <v>2.8451673634847969</v>
      </c>
      <c r="T102" s="34">
        <f t="shared" si="39"/>
        <v>2.8560049871593498</v>
      </c>
      <c r="U102" s="34">
        <f t="shared" si="39"/>
        <v>2.8593154311036688</v>
      </c>
      <c r="V102" s="34">
        <f t="shared" si="39"/>
        <v>2.8593154311036688</v>
      </c>
      <c r="W102" s="34">
        <f t="shared" si="39"/>
        <v>2.8593154311036688</v>
      </c>
    </row>
    <row r="103" spans="2:25" x14ac:dyDescent="0.2">
      <c r="B103" s="26" t="s">
        <v>134</v>
      </c>
      <c r="C103" s="34"/>
      <c r="D103" s="34"/>
      <c r="E103" s="34">
        <f t="shared" ref="E103:W103" si="40">(E102*(D93+D94+D96)+E38*(D95+D97))/D92</f>
        <v>1.80772</v>
      </c>
      <c r="F103" s="34">
        <f t="shared" si="40"/>
        <v>1.9077200000000001</v>
      </c>
      <c r="G103" s="34">
        <f t="shared" si="40"/>
        <v>1.9077200000000001</v>
      </c>
      <c r="H103" s="34">
        <f t="shared" si="40"/>
        <v>2.0510578068871177</v>
      </c>
      <c r="I103" s="34">
        <f t="shared" si="40"/>
        <v>2.1928297708470597</v>
      </c>
      <c r="J103" s="34">
        <f t="shared" si="40"/>
        <v>2.3254135666366342</v>
      </c>
      <c r="K103" s="34">
        <f t="shared" si="40"/>
        <v>2.456688810666209</v>
      </c>
      <c r="L103" s="34">
        <f t="shared" si="40"/>
        <v>2.5695749739605018</v>
      </c>
      <c r="M103" s="34">
        <f t="shared" si="40"/>
        <v>2.6610083125532871</v>
      </c>
      <c r="N103" s="34">
        <f t="shared" si="40"/>
        <v>2.7540713789584186</v>
      </c>
      <c r="O103" s="34">
        <f t="shared" si="40"/>
        <v>2.7790985417613721</v>
      </c>
      <c r="P103" s="34">
        <f t="shared" si="40"/>
        <v>2.7993131071539921</v>
      </c>
      <c r="Q103" s="34">
        <f t="shared" si="40"/>
        <v>2.81589510571595</v>
      </c>
      <c r="R103" s="34">
        <f t="shared" si="40"/>
        <v>2.8320534161572186</v>
      </c>
      <c r="S103" s="34">
        <f t="shared" si="40"/>
        <v>2.8451672602399016</v>
      </c>
      <c r="T103" s="34">
        <f t="shared" si="40"/>
        <v>2.8560049688341924</v>
      </c>
      <c r="U103" s="34">
        <f t="shared" si="40"/>
        <v>2.8593154301133357</v>
      </c>
      <c r="V103" s="34">
        <f t="shared" si="40"/>
        <v>2.8593154311036688</v>
      </c>
      <c r="W103" s="34">
        <f t="shared" si="40"/>
        <v>2.8593154311036688</v>
      </c>
    </row>
    <row r="104" spans="2:25" x14ac:dyDescent="0.2">
      <c r="B104" s="35" t="s">
        <v>135</v>
      </c>
      <c r="C104" s="114"/>
      <c r="D104" s="114"/>
      <c r="E104" s="49">
        <f>IF('Criteria results'!$F$5=4,E115,E120)</f>
        <v>0</v>
      </c>
      <c r="F104" s="49">
        <f>IF('Criteria results'!$F$5=4,F115,F120)</f>
        <v>0</v>
      </c>
      <c r="G104" s="49">
        <f>IF('Criteria results'!$F$5=4,G115,G120)</f>
        <v>0</v>
      </c>
      <c r="H104" s="49">
        <f>IF('Criteria results'!$F$5=4,H115,H120)</f>
        <v>0</v>
      </c>
      <c r="I104" s="49">
        <f>IF('Criteria results'!$F$5=4,I115,I120)</f>
        <v>0</v>
      </c>
      <c r="J104" s="49">
        <f>IF('Criteria results'!$F$5=4,J115,J120)</f>
        <v>0</v>
      </c>
      <c r="K104" s="49">
        <f>IF('Criteria results'!$F$5=4,K115,K120)</f>
        <v>0</v>
      </c>
      <c r="L104" s="49">
        <f>IF('Criteria results'!$F$5=4,L115,L120)</f>
        <v>0</v>
      </c>
      <c r="M104" s="49">
        <f>IF('Criteria results'!$F$5=4,M115,M120)</f>
        <v>0</v>
      </c>
      <c r="N104" s="49">
        <f>IF('Criteria results'!$F$5=4,N115,N120)</f>
        <v>0</v>
      </c>
      <c r="O104" s="49">
        <f>IF('Criteria results'!$F$5=4,O115,O120)</f>
        <v>0</v>
      </c>
      <c r="P104" s="49">
        <f>IF('Criteria results'!$F$5=4,P115,P120)</f>
        <v>0</v>
      </c>
      <c r="Q104" s="49">
        <f>IF('Criteria results'!$F$5=4,Q115,Q120)</f>
        <v>0</v>
      </c>
      <c r="R104" s="49">
        <f>IF('Criteria results'!$F$5=4,R115,R120)</f>
        <v>0</v>
      </c>
      <c r="S104" s="49">
        <f>IF('Criteria results'!$F$5=4,S115,S120)</f>
        <v>0</v>
      </c>
      <c r="T104" s="49">
        <f>IF('Criteria results'!$F$5=4,T115,T120)</f>
        <v>0</v>
      </c>
      <c r="U104" s="49">
        <f>IF('Criteria results'!$F$5=4,U115,U120)</f>
        <v>0</v>
      </c>
      <c r="V104" s="49">
        <f>IF('Criteria results'!$F$5=4,V115,V120)</f>
        <v>0</v>
      </c>
      <c r="W104" s="49">
        <f>IF('Criteria results'!$F$5=4,W115,W120)</f>
        <v>0</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3" t="s">
        <v>185</v>
      </c>
      <c r="C106" s="115">
        <f t="shared" ref="C106:W106" si="41">((1+C101/100)/((1+C24/100)*(1+C42/100))-1)*100</f>
        <v>-9.8765561120643941</v>
      </c>
      <c r="D106" s="115">
        <f t="shared" si="41"/>
        <v>-8.7789144920546907</v>
      </c>
      <c r="E106" s="115">
        <f t="shared" si="41"/>
        <v>-5.1265148425786773</v>
      </c>
      <c r="F106" s="115">
        <f t="shared" si="41"/>
        <v>-4.3974442453050262</v>
      </c>
      <c r="G106" s="115">
        <f t="shared" si="41"/>
        <v>-3.3667168756985943</v>
      </c>
      <c r="H106" s="115">
        <f t="shared" si="41"/>
        <v>-2.4818120584936265</v>
      </c>
      <c r="I106" s="115">
        <f t="shared" si="41"/>
        <v>-1.7354991123177177</v>
      </c>
      <c r="J106" s="115">
        <f t="shared" si="41"/>
        <v>-1.6845391065855475</v>
      </c>
      <c r="K106" s="115">
        <f t="shared" si="41"/>
        <v>-1.6414606057340575</v>
      </c>
      <c r="L106" s="115">
        <f t="shared" si="41"/>
        <v>-1.4708110752754244</v>
      </c>
      <c r="M106" s="115">
        <f t="shared" si="41"/>
        <v>-1.3535135825145983</v>
      </c>
      <c r="N106" s="115">
        <f t="shared" si="41"/>
        <v>-1.2604092582650273</v>
      </c>
      <c r="O106" s="115">
        <f t="shared" si="41"/>
        <v>-1.2309244447399115</v>
      </c>
      <c r="P106" s="115">
        <f t="shared" si="41"/>
        <v>-1.2477380033532715</v>
      </c>
      <c r="Q106" s="115">
        <f t="shared" si="41"/>
        <v>-1.2679977801932085</v>
      </c>
      <c r="R106" s="115">
        <f t="shared" si="41"/>
        <v>-1.2886158270162706</v>
      </c>
      <c r="S106" s="115">
        <f t="shared" si="41"/>
        <v>-1.3338736096470627</v>
      </c>
      <c r="T106" s="115">
        <f t="shared" si="41"/>
        <v>-1.3494998625261156</v>
      </c>
      <c r="U106" s="115">
        <f t="shared" si="41"/>
        <v>-1.3833189943027513</v>
      </c>
      <c r="V106" s="115">
        <f t="shared" si="41"/>
        <v>-1.4243834917379239</v>
      </c>
      <c r="W106" s="115">
        <f t="shared" si="41"/>
        <v>-1.3661540354697355</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F108" s="34"/>
      <c r="G108" s="34"/>
      <c r="H108" s="253"/>
      <c r="I108" s="253"/>
      <c r="J108" s="253"/>
      <c r="K108" s="253"/>
      <c r="L108" s="253"/>
      <c r="M108" s="253"/>
      <c r="N108" s="253"/>
      <c r="O108" s="253"/>
      <c r="P108" s="253"/>
      <c r="Q108" s="253"/>
      <c r="R108" s="253"/>
      <c r="S108" s="253"/>
      <c r="T108" s="253"/>
      <c r="U108" s="34"/>
      <c r="V108" s="34"/>
      <c r="W108" s="34"/>
    </row>
    <row r="109" spans="2:25" x14ac:dyDescent="0.2">
      <c r="T109" s="62"/>
      <c r="U109" s="62"/>
      <c r="V109" s="62"/>
      <c r="W109" s="62"/>
      <c r="X109" s="62"/>
      <c r="Y109" s="62"/>
    </row>
    <row r="110" spans="2:25" s="25" customFormat="1" ht="12.75" outlineLevel="1" x14ac:dyDescent="0.2">
      <c r="B110" s="25" t="s">
        <v>136</v>
      </c>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5" s="102" customFormat="1" ht="12.75" outlineLevel="1"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2:25" s="102" customFormat="1" ht="12.75" outlineLevel="1" x14ac:dyDescent="0.2">
      <c r="B112" s="106" t="s">
        <v>292</v>
      </c>
      <c r="C112" s="125"/>
      <c r="D112" s="125"/>
      <c r="E112" s="125"/>
      <c r="F112" s="125"/>
      <c r="G112" s="125"/>
      <c r="H112" s="37"/>
      <c r="I112" s="37"/>
      <c r="J112" s="37"/>
      <c r="K112" s="37"/>
      <c r="L112" s="37"/>
      <c r="M112" s="37"/>
      <c r="N112" s="37"/>
      <c r="O112" s="37"/>
      <c r="P112" s="37"/>
      <c r="Q112" s="37"/>
      <c r="R112" s="37"/>
      <c r="S112" s="37"/>
      <c r="T112" s="37"/>
      <c r="U112" s="125"/>
      <c r="V112" s="125"/>
      <c r="W112" s="125"/>
    </row>
    <row r="113" spans="1:51" outlineLevel="1" x14ac:dyDescent="0.2">
      <c r="B113" s="120" t="s">
        <v>43</v>
      </c>
      <c r="C113" s="34">
        <v>99.250228881835938</v>
      </c>
      <c r="D113" s="34">
        <v>85.59527587890625</v>
      </c>
      <c r="E113" s="34">
        <v>77.284423828125</v>
      </c>
      <c r="F113" s="34">
        <v>70.579917907714844</v>
      </c>
      <c r="G113" s="34">
        <v>65.467704772949219</v>
      </c>
      <c r="H113" s="34">
        <v>59.991008758544922</v>
      </c>
      <c r="I113" s="34">
        <v>55.344291687011719</v>
      </c>
      <c r="J113" s="34">
        <v>50.929588317871094</v>
      </c>
      <c r="K113" s="34">
        <v>46.496627807617188</v>
      </c>
      <c r="L113" s="34">
        <v>42.459308624267578</v>
      </c>
      <c r="M113" s="34">
        <v>38.775245666503906</v>
      </c>
      <c r="N113" s="34">
        <v>35.374042510986328</v>
      </c>
      <c r="O113" s="34">
        <v>32.262428283691406</v>
      </c>
      <c r="P113" s="34">
        <v>29.340311050415039</v>
      </c>
      <c r="Q113" s="34">
        <v>26.66554069519043</v>
      </c>
      <c r="R113" s="34">
        <v>24.168214797973633</v>
      </c>
      <c r="S113" s="34">
        <v>21.808547973632813</v>
      </c>
      <c r="T113" s="34">
        <v>19.585712432861328</v>
      </c>
      <c r="U113" s="34">
        <v>17.188026428222656</v>
      </c>
      <c r="V113" s="34">
        <v>15.006132125854492</v>
      </c>
      <c r="W113" s="34">
        <v>12.883498191833496</v>
      </c>
      <c r="X113" s="116"/>
      <c r="Y113" s="62"/>
    </row>
    <row r="114" spans="1:51" x14ac:dyDescent="0.2">
      <c r="B114" s="26" t="s">
        <v>132</v>
      </c>
      <c r="C114" s="1">
        <v>1.7160236835479736</v>
      </c>
      <c r="D114" s="1">
        <v>1.6482961177825928</v>
      </c>
      <c r="E114" s="1">
        <v>1.807720422744751</v>
      </c>
      <c r="F114" s="1">
        <v>1.9077204465866089</v>
      </c>
      <c r="G114" s="1">
        <v>1.9077204465866089</v>
      </c>
      <c r="H114" s="1">
        <v>2.0510580539703369</v>
      </c>
      <c r="I114" s="1">
        <v>2.1928298473358154</v>
      </c>
      <c r="J114" s="1">
        <v>2.3254132270812988</v>
      </c>
      <c r="K114" s="1">
        <v>2.456688404083252</v>
      </c>
      <c r="L114" s="1">
        <v>2.5695743560791016</v>
      </c>
      <c r="M114" s="1">
        <v>2.6610074043273926</v>
      </c>
      <c r="N114" s="1">
        <v>2.754070520401001</v>
      </c>
      <c r="O114" s="1">
        <v>2.7790968418121338</v>
      </c>
      <c r="P114" s="1">
        <v>2.7993111610412598</v>
      </c>
      <c r="Q114" s="1">
        <v>2.8158924579620361</v>
      </c>
      <c r="R114" s="1">
        <v>2.8320498466491699</v>
      </c>
      <c r="S114" s="1">
        <v>2.8451633453369141</v>
      </c>
      <c r="T114" s="1">
        <v>2.8559997081756592</v>
      </c>
      <c r="U114" s="1">
        <v>2.8593089580535889</v>
      </c>
      <c r="V114" s="1">
        <v>2.8593089580535889</v>
      </c>
      <c r="W114" s="1">
        <v>2.8593089580535889</v>
      </c>
      <c r="X114" s="117"/>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184</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17"/>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9"/>
      <c r="F116" s="99"/>
      <c r="G116" s="99"/>
      <c r="H116" s="99"/>
      <c r="I116" s="99"/>
      <c r="J116" s="99"/>
      <c r="K116" s="99"/>
      <c r="L116" s="99"/>
      <c r="M116" s="99"/>
      <c r="N116" s="99"/>
      <c r="O116" s="99"/>
      <c r="P116" s="99"/>
      <c r="Q116" s="99"/>
      <c r="R116" s="99"/>
      <c r="S116" s="99"/>
      <c r="T116" s="99"/>
      <c r="U116" s="103"/>
      <c r="V116" s="103"/>
      <c r="W116" s="103"/>
      <c r="X116" s="117"/>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6" t="s">
        <v>293</v>
      </c>
      <c r="C117" s="37"/>
      <c r="D117" s="37"/>
      <c r="E117" s="37"/>
      <c r="F117" s="37"/>
      <c r="G117" s="37"/>
      <c r="H117" s="37"/>
      <c r="I117" s="37"/>
      <c r="J117" s="37"/>
      <c r="K117" s="37"/>
      <c r="L117" s="37"/>
      <c r="M117" s="37"/>
      <c r="N117" s="37"/>
      <c r="O117" s="37"/>
      <c r="P117" s="37"/>
      <c r="Q117" s="37"/>
      <c r="R117" s="37"/>
      <c r="S117" s="37"/>
      <c r="T117" s="37"/>
      <c r="U117" s="37"/>
      <c r="V117" s="126"/>
      <c r="W117" s="126"/>
      <c r="X117" s="117"/>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20" t="s">
        <v>43</v>
      </c>
      <c r="C118" s="34">
        <v>99.250228881835938</v>
      </c>
      <c r="D118" s="34">
        <v>85.59527587890625</v>
      </c>
      <c r="E118" s="34">
        <v>77.284423828125</v>
      </c>
      <c r="F118" s="34">
        <v>70.579917907714844</v>
      </c>
      <c r="G118" s="34">
        <v>65.467704772949219</v>
      </c>
      <c r="H118" s="34">
        <v>59.991008758544922</v>
      </c>
      <c r="I118" s="34">
        <v>55.344291687011719</v>
      </c>
      <c r="J118" s="34">
        <v>50.929588317871094</v>
      </c>
      <c r="K118" s="34">
        <v>46.611194610595703</v>
      </c>
      <c r="L118" s="34">
        <v>42.444400787353516</v>
      </c>
      <c r="M118" s="34">
        <v>38.387298583984375</v>
      </c>
      <c r="N118" s="34">
        <v>34.614101409912109</v>
      </c>
      <c r="O118" s="34">
        <v>31.131229400634766</v>
      </c>
      <c r="P118" s="34">
        <v>27.838958740234375</v>
      </c>
      <c r="Q118" s="34">
        <v>24.79571533203125</v>
      </c>
      <c r="R118" s="34">
        <v>21.932718276977539</v>
      </c>
      <c r="S118" s="34">
        <v>19.212282180786133</v>
      </c>
      <c r="T118" s="34">
        <v>16.634082794189453</v>
      </c>
      <c r="U118" s="34">
        <v>13.888633728027344</v>
      </c>
      <c r="V118" s="34">
        <v>11.367714881896973</v>
      </c>
      <c r="W118" s="34">
        <v>8.9111185073852539</v>
      </c>
      <c r="X118" s="116"/>
      <c r="Y118" s="62"/>
    </row>
    <row r="119" spans="1:51" x14ac:dyDescent="0.2">
      <c r="B119" s="26" t="s">
        <v>132</v>
      </c>
      <c r="C119" s="1">
        <v>1.7160236835479736</v>
      </c>
      <c r="D119" s="1">
        <v>1.6482961177825928</v>
      </c>
      <c r="E119" s="1">
        <v>1.807720422744751</v>
      </c>
      <c r="F119" s="1">
        <v>1.9077204465866089</v>
      </c>
      <c r="G119" s="1">
        <v>1.9077204465866089</v>
      </c>
      <c r="H119" s="1">
        <v>2.0510580539703369</v>
      </c>
      <c r="I119" s="1">
        <v>2.1928298473358154</v>
      </c>
      <c r="J119" s="1">
        <v>2.3254132270812988</v>
      </c>
      <c r="K119" s="1">
        <v>2.456688404083252</v>
      </c>
      <c r="L119" s="1">
        <v>2.5721971988677979</v>
      </c>
      <c r="M119" s="1">
        <v>2.6604959964752197</v>
      </c>
      <c r="N119" s="1">
        <v>2.7436487674713135</v>
      </c>
      <c r="O119" s="1">
        <v>2.7563104629516602</v>
      </c>
      <c r="P119" s="1">
        <v>2.7617454528808594</v>
      </c>
      <c r="Q119" s="1">
        <v>2.7617456912994385</v>
      </c>
      <c r="R119" s="1">
        <v>2.7617456912994385</v>
      </c>
      <c r="S119" s="1">
        <v>2.7617456912994385</v>
      </c>
      <c r="T119" s="1">
        <v>2.7617456912994385</v>
      </c>
      <c r="U119" s="1">
        <v>2.7617456912994385</v>
      </c>
      <c r="V119" s="1">
        <v>2.7617456912994385</v>
      </c>
      <c r="W119" s="1">
        <v>2.7617456912994385</v>
      </c>
      <c r="X119" s="117"/>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184</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17"/>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6"/>
      <c r="V121" s="116"/>
      <c r="W121" s="116"/>
      <c r="X121" s="116"/>
      <c r="Y121" s="62"/>
    </row>
    <row r="122" spans="1:51" x14ac:dyDescent="0.2">
      <c r="H122" s="121"/>
      <c r="I122" s="121"/>
      <c r="J122" s="121"/>
      <c r="K122" s="121"/>
      <c r="L122" s="121"/>
      <c r="M122" s="121"/>
      <c r="N122" s="121"/>
      <c r="O122" s="121"/>
      <c r="P122" s="121"/>
      <c r="Q122" s="121"/>
      <c r="R122" s="121"/>
      <c r="S122" s="121"/>
      <c r="T122" s="121"/>
      <c r="U122" s="121"/>
      <c r="V122" s="121"/>
      <c r="W122" s="121"/>
    </row>
    <row r="123" spans="1:51"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1:51"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53"/>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E136" s="34"/>
      <c r="F136" s="34"/>
      <c r="G136" s="121"/>
      <c r="H136" s="121"/>
      <c r="I136" s="121"/>
      <c r="J136" s="121"/>
      <c r="K136" s="121"/>
      <c r="L136" s="121"/>
      <c r="M136" s="121"/>
      <c r="N136" s="121"/>
      <c r="O136" s="121"/>
      <c r="P136" s="121"/>
      <c r="Q136" s="121"/>
      <c r="R136" s="121"/>
      <c r="S136" s="121"/>
      <c r="T136" s="121"/>
      <c r="U136" s="121"/>
      <c r="V136" s="121"/>
      <c r="W136" s="121"/>
      <c r="X136" s="121"/>
    </row>
    <row r="137" spans="5:24" x14ac:dyDescent="0.2">
      <c r="E137" s="34"/>
      <c r="F137" s="34"/>
      <c r="G137" s="121"/>
      <c r="H137" s="121"/>
      <c r="I137" s="121"/>
      <c r="J137" s="121"/>
      <c r="K137" s="121"/>
      <c r="L137" s="121"/>
      <c r="M137" s="121"/>
      <c r="N137" s="121"/>
      <c r="O137" s="121"/>
      <c r="P137" s="121"/>
      <c r="Q137" s="121"/>
      <c r="R137" s="121"/>
      <c r="S137" s="121"/>
      <c r="T137" s="121"/>
      <c r="U137" s="121"/>
      <c r="V137" s="121"/>
      <c r="W137" s="121"/>
      <c r="X137" s="121"/>
    </row>
    <row r="138" spans="5:24" x14ac:dyDescent="0.2">
      <c r="G138" s="121"/>
      <c r="H138" s="121"/>
      <c r="I138" s="121"/>
      <c r="J138" s="121"/>
      <c r="K138" s="121"/>
      <c r="L138" s="121"/>
      <c r="M138" s="121"/>
      <c r="N138" s="121"/>
      <c r="O138" s="121"/>
      <c r="P138" s="121"/>
      <c r="Q138" s="121"/>
      <c r="R138" s="121"/>
      <c r="S138" s="121"/>
      <c r="T138" s="121"/>
      <c r="U138" s="121"/>
      <c r="V138" s="121"/>
      <c r="W138" s="121"/>
      <c r="X138" s="121"/>
    </row>
    <row r="139" spans="5:24" x14ac:dyDescent="0.2">
      <c r="G139" s="121"/>
      <c r="H139" s="121"/>
      <c r="I139" s="121"/>
      <c r="J139" s="121"/>
      <c r="K139" s="121"/>
      <c r="L139" s="121"/>
      <c r="M139" s="121"/>
      <c r="N139" s="121"/>
      <c r="O139" s="121"/>
      <c r="P139" s="121"/>
      <c r="Q139" s="121"/>
      <c r="R139" s="121"/>
      <c r="S139" s="121"/>
      <c r="T139" s="121"/>
      <c r="U139" s="121"/>
      <c r="V139" s="121"/>
      <c r="W139" s="121"/>
      <c r="X139" s="121"/>
    </row>
  </sheetData>
  <conditionalFormatting sqref="G12:M12">
    <cfRule type="expression" dxfId="33" priority="6">
      <formula>AND(G10&gt;$C$5,G10&lt;=$C$6)</formula>
    </cfRule>
  </conditionalFormatting>
  <conditionalFormatting sqref="U10:W44 U46:W53 U86:W109 U111:W123 U126:W150 U55:W78 U80:W84">
    <cfRule type="expression" dxfId="32" priority="2">
      <formula>U$10&gt;$C$7</formula>
    </cfRule>
  </conditionalFormatting>
  <conditionalFormatting sqref="U79:W79">
    <cfRule type="expression" dxfId="31"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CY</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-1.437066</v>
      </c>
      <c r="D12" s="2">
        <f>'Input data'!D13</f>
        <v>2.087558</v>
      </c>
      <c r="E12" s="2">
        <f>'Input data'!E13</f>
        <v>3.2270470000000002</v>
      </c>
      <c r="F12" s="2">
        <f>'Input data'!F13</f>
        <v>3.482405</v>
      </c>
      <c r="G12" s="3">
        <f>'Adjust. no safeguard'!G12</f>
        <v>3.482405</v>
      </c>
      <c r="H12" s="3">
        <f>'Adjust. no safeguard'!H12</f>
        <v>3.482405</v>
      </c>
      <c r="I12" s="3">
        <f>'Adjust. no safeguard'!I12</f>
        <v>3.482405</v>
      </c>
      <c r="J12" s="3">
        <f>'Adjust. no safeguard'!J12</f>
        <v>3.482405</v>
      </c>
      <c r="K12" s="119">
        <f>'Adjust. no safeguard'!K12</f>
        <v>3.482405</v>
      </c>
      <c r="L12" s="119">
        <f>'Adjust. no safeguard'!L12</f>
        <v>3.482405</v>
      </c>
      <c r="M12" s="119">
        <f>'Adjust. no safeguard'!M12</f>
        <v>3.482405</v>
      </c>
      <c r="N12" s="119">
        <f>IF(N10&lt;=$C$6,M12+'Criteria results'!$F$6,M12)</f>
        <v>3.482405</v>
      </c>
      <c r="O12" s="119">
        <f>IF(O10&lt;=$C$6,N12+'Criteria results'!$F$6,N12)</f>
        <v>3.482405</v>
      </c>
      <c r="P12" s="119">
        <f>IF(P10&lt;=$C$6,O12+'Criteria results'!$F$6,O12)</f>
        <v>3.482405</v>
      </c>
      <c r="Q12" s="119">
        <f>IF(Q10&lt;=$C$6,P12+'Criteria results'!$F$6,P12)</f>
        <v>3.482405</v>
      </c>
      <c r="R12" s="119">
        <f>IF(R10&lt;=$C$6,Q12+'Criteria results'!$F$6,Q12)</f>
        <v>3.482405</v>
      </c>
      <c r="S12" s="119">
        <f>IF(S10&lt;=$C$6,R12+'Criteria results'!$F$6,R12)</f>
        <v>3.482405</v>
      </c>
      <c r="T12" s="119">
        <f>IF(T10&lt;=$C$6,S12+'Criteria results'!$F$6,S12)</f>
        <v>3.482405</v>
      </c>
      <c r="U12" s="119">
        <f>IF(U10&lt;=$C$6,T12+'Criteria results'!$F$6,T12)</f>
        <v>3.482405</v>
      </c>
      <c r="V12" s="119">
        <f>IF(V10&lt;=$C$6,U12+'Criteria results'!$F$6,U12)</f>
        <v>3.482405</v>
      </c>
      <c r="W12" s="119">
        <f>IF(W10&lt;=$C$6,V12+'Criteria results'!$F$6,V12)</f>
        <v>3.482405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8.0633499999999997E-2</v>
      </c>
      <c r="D13" s="2">
        <f>'Input data'!D14</f>
        <v>0</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-4.4074220000000004</v>
      </c>
      <c r="D14" s="2">
        <f>'Input data'!D15</f>
        <v>-0.74485959999999996</v>
      </c>
      <c r="E14" s="2">
        <f>'Input data'!E15</f>
        <v>0.60125580000000001</v>
      </c>
      <c r="F14" s="2">
        <f>'Input data'!F15</f>
        <v>0.99131420000000003</v>
      </c>
      <c r="G14" s="2">
        <f>'Input data'!G15</f>
        <v>1.300675</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20.90879</v>
      </c>
      <c r="E17" s="101">
        <f>'Input data'!E20</f>
        <v>21.00188</v>
      </c>
      <c r="F17" s="101">
        <f>'Input data'!F20</f>
        <v>21.01275</v>
      </c>
      <c r="G17" s="101">
        <f>'Input data'!G20</f>
        <v>21.349210000000006</v>
      </c>
      <c r="H17" s="101">
        <f>'Input data'!H20</f>
        <v>21.616050000000001</v>
      </c>
      <c r="I17" s="101">
        <f>'Input data'!I20</f>
        <v>21.792829999999999</v>
      </c>
      <c r="J17" s="101">
        <f>'Input data'!J20</f>
        <v>21.931189999999997</v>
      </c>
      <c r="K17" s="101">
        <f>'Input data'!K20</f>
        <v>21.810479999999998</v>
      </c>
      <c r="L17" s="101">
        <f>'Input data'!L20</f>
        <v>22.04786</v>
      </c>
      <c r="M17" s="101">
        <f>'Input data'!M20</f>
        <v>22.285779999999999</v>
      </c>
      <c r="N17" s="101">
        <f>'Input data'!N20</f>
        <v>22.47654</v>
      </c>
      <c r="O17" s="101">
        <f>'Input data'!O20</f>
        <v>22.706669999999999</v>
      </c>
      <c r="P17" s="101">
        <f>'Input data'!P20</f>
        <v>22.857150000000004</v>
      </c>
      <c r="Q17" s="101">
        <f>'Input data'!Q20</f>
        <v>23.067840000000004</v>
      </c>
      <c r="R17" s="101">
        <f>'Input data'!R20</f>
        <v>23.210700000000003</v>
      </c>
      <c r="S17" s="101">
        <f>'Input data'!S20</f>
        <v>23.320980000000006</v>
      </c>
      <c r="T17" s="101">
        <f>'Input data'!T20</f>
        <v>23.423589999999997</v>
      </c>
      <c r="U17" s="101">
        <f>'Input data'!U20</f>
        <v>23.21922</v>
      </c>
      <c r="V17" s="101">
        <f>'Input data'!V20</f>
        <v>23.402750000000005</v>
      </c>
      <c r="W17" s="101">
        <f>'Input data'!W20</f>
        <v>23.416050000000002</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0.43526049999999999</v>
      </c>
      <c r="D18" s="101">
        <f>'Input data'!D26</f>
        <v>0.41113149999999998</v>
      </c>
      <c r="E18" s="101">
        <f>'Input data'!E26</f>
        <v>0.4049838</v>
      </c>
      <c r="F18" s="101">
        <f>'Input data'!F26</f>
        <v>0.39883610000000003</v>
      </c>
      <c r="G18" s="101">
        <f>'Input data'!G26</f>
        <v>0.3926885</v>
      </c>
      <c r="H18" s="101">
        <f>'Input data'!H26</f>
        <v>0.38654080000000002</v>
      </c>
      <c r="I18" s="101">
        <f>'Input data'!I26</f>
        <v>0.38039309999999998</v>
      </c>
      <c r="J18" s="101">
        <f>'Input data'!J26</f>
        <v>0.37424540000000001</v>
      </c>
      <c r="K18" s="101">
        <f>'Input data'!K26</f>
        <v>0.36809770000000003</v>
      </c>
      <c r="L18" s="101">
        <f>'Input data'!L26</f>
        <v>0.36194999999999999</v>
      </c>
      <c r="M18" s="101">
        <f>'Input data'!M26</f>
        <v>0.35580240000000002</v>
      </c>
      <c r="N18" s="101">
        <f>'Input data'!N26</f>
        <v>0.34965469999999998</v>
      </c>
      <c r="O18" s="101">
        <f>'Input data'!O26</f>
        <v>0.34350700000000001</v>
      </c>
      <c r="P18" s="101">
        <f>'Input data'!P26</f>
        <v>0.33735929999999997</v>
      </c>
      <c r="Q18" s="101">
        <f>'Input data'!Q26</f>
        <v>0.33121159999999999</v>
      </c>
      <c r="R18" s="101">
        <f>'Input data'!R26</f>
        <v>0.32506390000000002</v>
      </c>
      <c r="S18" s="101">
        <f>'Input data'!S26</f>
        <v>0.31891629999999999</v>
      </c>
      <c r="T18" s="101">
        <f>'Input data'!T26</f>
        <v>0.31276860000000001</v>
      </c>
      <c r="U18" s="101">
        <f>'Input data'!U26</f>
        <v>0.30662089999999997</v>
      </c>
      <c r="V18" s="101">
        <f>'Input data'!V26</f>
        <v>0.3004732</v>
      </c>
      <c r="W18" s="101">
        <f>'Input data'!W26</f>
        <v>0.29432550000000002</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23.926369999999999</v>
      </c>
      <c r="D22" s="100">
        <f>'Baseline NFPC'!D22</f>
        <v>25.136550003195801</v>
      </c>
      <c r="E22" s="100">
        <f>'Baseline NFPC'!E22</f>
        <v>25.755220072397957</v>
      </c>
      <c r="F22" s="100">
        <f>'Baseline NFPC'!F22</f>
        <v>26.470858995717016</v>
      </c>
      <c r="G22" s="34">
        <f>IF(AND(G49&gt;1,F49&gt;1),IF(AND(G49&gt;0,F49&gt;0),G26*(G50/100+1),0)+IF(G49&gt;0,F22*(1+G51/100),0)-F22*(1+'Input data'!G30/100),IF(G49=1,G26,F22*(1+G51/100)))</f>
        <v>27.268041090968172</v>
      </c>
      <c r="H22" s="34">
        <f>IF(AND(H49&gt;1,G49&gt;1),IF(AND(H49&gt;0,G49&gt;0),H26*(H50/100+1),0)+IF(H49&gt;0,G22*(1+H51/100),0)-G22*(1+'Input data'!H30/100),IF(H49=1,H26,G22*(1+H51/100)))</f>
        <v>27.867541790332417</v>
      </c>
      <c r="I22" s="34">
        <f>IF(AND(I49&gt;1,H49&gt;1),IF(AND(I49&gt;0,H49&gt;0),I26*(I50/100+1),0)+IF(I49&gt;0,H22*(1+I51/100),0)-H22*(1+'Input data'!I30/100),IF(I49=1,I26,H22*(1+I51/100)))</f>
        <v>28.297141405037568</v>
      </c>
      <c r="J22" s="34">
        <f>IF(AND(J49&gt;1,I49&gt;1),IF(AND(J49&gt;0,I49&gt;0),J26*(J50/100+1),0)+IF(J49&gt;0,I22*(1+J51/100),0)-I22*(1+'Input data'!J30/100),IF(J49=1,J26,I22*(1+J51/100)))</f>
        <v>28.749593171076548</v>
      </c>
      <c r="K22" s="34">
        <f>IF(AND(K49&gt;1,J49&gt;1),IF(AND(K49&gt;0,J49&gt;0),K26*(K50/100+1),0)+IF(K49&gt;0,J22*(1+K51/100),0)-J22*(1+'Input data'!K30/100),IF(K49=1,K26,J22*(1+K51/100)))</f>
        <v>29.22770638040577</v>
      </c>
      <c r="L22" s="34">
        <f>IF(AND(L49&gt;1,K49&gt;1),IF(AND(L49&gt;0,K49&gt;0),L26*(L50/100+1),0)+IF(L49&gt;0,K22*(1+L51/100),0)-K22*(1+'Input data'!L30/100),IF(L49=1,L26,K22*(1+L51/100)))</f>
        <v>29.688655368622893</v>
      </c>
      <c r="M22" s="34">
        <f>IF(AND(M49&gt;1,L49&gt;1),IF(AND(M49&gt;0,L49&gt;0),M26*(M50/100+1),0)+IF(M49&gt;0,L22*(1+M51/100),0)-L22*(1+'Input data'!M30/100),IF(M49=1,M26,L22*(1+M51/100)))</f>
        <v>30.141437051649756</v>
      </c>
      <c r="N22" s="34">
        <f>IF(AND(N49&gt;1,M49&gt;1),IF(AND(N49&gt;0,M49&gt;0),N26*(N50/100+1),0)+IF(N49&gt;0,M22*(1+N51/100),0)-M22*(1+'Input data'!N30/100),IF(N49=1,N26,M22*(1+N51/100)))</f>
        <v>30.593459442096599</v>
      </c>
      <c r="O22" s="34">
        <f>IF(AND(O49&gt;1,N49&gt;1),IF(AND(O49&gt;0,N49&gt;0),O26*(O50/100+1),0)+IF(O49&gt;0,N22*(1+O51/100),0)-N22*(1+'Input data'!O30/100),IF(O49=1,O26,N22*(1+O51/100)))</f>
        <v>31.043933141586344</v>
      </c>
      <c r="P22" s="34">
        <f>IF(AND(P49&gt;1,O49&gt;1),IF(AND(P49&gt;0,O49&gt;0),P26*(P50/100+1),0)+IF(P49&gt;0,O22*(1+P51/100),0)-O22*(1+'Input data'!P30/100),IF(P49=1,P26,O22*(1+P51/100)))</f>
        <v>31.52105262750802</v>
      </c>
      <c r="Q22" s="34">
        <f>IF(AND(Q49&gt;1,P49&gt;1),IF(AND(Q49&gt;0,P49&gt;0),Q26*(Q50/100+1),0)+IF(Q49&gt;0,P22*(1+Q51/100),0)-P22*(1+'Input data'!Q30/100),IF(Q49=1,Q26,P22*(1+Q51/100)))</f>
        <v>32.025826666548092</v>
      </c>
      <c r="R22" s="34">
        <f>IF(AND(R49&gt;1,Q49&gt;1),IF(AND(R49&gt;0,Q49&gt;0),R26*(R50/100+1),0)+IF(R49&gt;0,Q22*(1+R51/100),0)-Q22*(1+'Input data'!R30/100),IF(R49=1,R26,Q22*(1+R51/100)))</f>
        <v>32.559331141880648</v>
      </c>
      <c r="S22" s="34">
        <f>IF(AND(S49&gt;1,R49&gt;1),IF(AND(S49&gt;0,R49&gt;0),S26*(S50/100+1),0)+IF(S49&gt;0,R22*(1+S51/100),0)-R22*(1+'Input data'!S30/100),IF(S49=1,S26,R22*(1+S51/100)))</f>
        <v>33.130021330336191</v>
      </c>
      <c r="T22" s="34">
        <f>IF(AND(T49&gt;1,S49&gt;1),IF(AND(T49&gt;0,S49&gt;0),T26*(T50/100+1),0)+IF(T49&gt;0,S22*(1+T51/100),0)-S22*(1+'Input data'!T30/100),IF(T49=1,T26,S22*(1+T51/100)))</f>
        <v>33.728661600362997</v>
      </c>
      <c r="U22" s="34">
        <f>IF(AND(U49&gt;1,T49&gt;1),IF(AND(U49&gt;0,T49&gt;0),U26*(U50/100+1),0)+IF(U49&gt;0,T22*(1+U51/100),0)-T22*(1+'Input data'!U30/100),IF(U49=1,U26,T22*(1+U51/100)))</f>
        <v>34.360226741390399</v>
      </c>
      <c r="V22" s="34">
        <f>IF(AND(V49&gt;1,U49&gt;1),IF(AND(V49&gt;0,U49&gt;0),V26*(V50/100+1),0)+IF(V49&gt;0,U22*(1+V51/100),0)-U22*(1+'Input data'!V30/100),IF(V49=1,V26,U22*(1+V51/100)))</f>
        <v>35.027607830604296</v>
      </c>
      <c r="W22" s="34">
        <f>IF(AND(W49&gt;1,V49&gt;1),IF(AND(W49&gt;0,V49&gt;0),W26*(W50/100+1),0)+IF(W49&gt;0,V22*(1+W51/100),0)-V22*(1+'Input data'!W30/100),IF(W49=1,W26,V22*(1+W51/100)))</f>
        <v>35.696461403234004</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9.9113959999999999</v>
      </c>
      <c r="D23" s="100">
        <f>'Baseline NFPC'!D23</f>
        <v>5.0579340000000004</v>
      </c>
      <c r="E23" s="100">
        <f>'Baseline NFPC'!E23</f>
        <v>2.4612370000000001</v>
      </c>
      <c r="F23" s="100">
        <f>'Baseline NFPC'!F23</f>
        <v>2.7786170000000001</v>
      </c>
      <c r="G23" s="34">
        <f t="shared" ref="G23:T23" si="0">100*(G22/F22-1)</f>
        <v>3.0115459999999983</v>
      </c>
      <c r="H23" s="34">
        <f t="shared" si="0"/>
        <v>2.1985469999999951</v>
      </c>
      <c r="I23" s="34">
        <f t="shared" si="0"/>
        <v>1.541576999999994</v>
      </c>
      <c r="J23" s="34">
        <f t="shared" si="0"/>
        <v>1.5989309999999923</v>
      </c>
      <c r="K23" s="34">
        <f t="shared" si="0"/>
        <v>1.6630259999999897</v>
      </c>
      <c r="L23" s="34">
        <f t="shared" si="0"/>
        <v>1.5770960000000001</v>
      </c>
      <c r="M23" s="34">
        <f t="shared" si="0"/>
        <v>1.5250999999999904</v>
      </c>
      <c r="N23" s="34">
        <f t="shared" si="0"/>
        <v>1.4996709999999913</v>
      </c>
      <c r="O23" s="34">
        <f t="shared" si="0"/>
        <v>1.4724509999999968</v>
      </c>
      <c r="P23" s="34">
        <f t="shared" si="0"/>
        <v>1.5369170000000043</v>
      </c>
      <c r="Q23" s="34">
        <f t="shared" si="0"/>
        <v>1.6013870000000097</v>
      </c>
      <c r="R23" s="34">
        <f t="shared" si="0"/>
        <v>1.6658569999999928</v>
      </c>
      <c r="S23" s="34">
        <f t="shared" si="0"/>
        <v>1.7527700000000035</v>
      </c>
      <c r="T23" s="34">
        <f t="shared" si="0"/>
        <v>1.8069420000000003</v>
      </c>
      <c r="U23" s="34">
        <f t="shared" ref="U23" si="1">100*(U22/T22-1)</f>
        <v>1.8724879999999944</v>
      </c>
      <c r="V23" s="34">
        <f t="shared" ref="V23" si="2">100*(V22/U22-1)</f>
        <v>1.9423069999999987</v>
      </c>
      <c r="W23" s="34">
        <f t="shared" ref="W23" si="3">100*(W22/V22-1)</f>
        <v>1.9095040000000063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row>
    <row r="26" spans="1:50" x14ac:dyDescent="0.2">
      <c r="B26" s="26" t="s">
        <v>61</v>
      </c>
      <c r="C26" s="34">
        <f>'Input data'!C34</f>
        <v>23.334579999999999</v>
      </c>
      <c r="D26" s="100">
        <f>+C26*(1+'Input data'!D33/100)</f>
        <v>24.1267537557842</v>
      </c>
      <c r="E26" s="100">
        <f>+D26*(1+'Input data'!E33/100)</f>
        <v>25.109058128758399</v>
      </c>
      <c r="F26" s="100">
        <f>+E26*(1+'Input data'!F33/100)</f>
        <v>26.049688893656899</v>
      </c>
      <c r="G26" s="34">
        <f>+F26*(1+'Input data'!G33/100)</f>
        <v>26.971436034910944</v>
      </c>
      <c r="H26" s="34">
        <f>+G26*(1+'Input data'!H33/100)</f>
        <v>27.664722233612871</v>
      </c>
      <c r="I26" s="34">
        <f>+H26*(1+'Input data'!I33/100)</f>
        <v>28.228160225339305</v>
      </c>
      <c r="J26" s="34">
        <f>+I26*(1+'Input data'!J33/100)</f>
        <v>28.749596164372218</v>
      </c>
      <c r="K26" s="34">
        <f>+J26*(1+'Input data'!K33/100)</f>
        <v>29.227709423480729</v>
      </c>
      <c r="L26" s="34">
        <f>+K26*(1+'Input data'!L33/100)</f>
        <v>29.688657875135874</v>
      </c>
      <c r="M26" s="34">
        <f>+L26*(1+'Input data'!M33/100)</f>
        <v>30.141439596389567</v>
      </c>
      <c r="N26" s="34">
        <f>+M26*(1+'Input data'!N33/100)</f>
        <v>30.593462627827932</v>
      </c>
      <c r="O26" s="34">
        <f>+N26*(1+'Input data'!O33/100)</f>
        <v>31.04393576235676</v>
      </c>
      <c r="P26" s="34">
        <f>+O26*(1+'Input data'!P33/100)</f>
        <v>31.521055909436214</v>
      </c>
      <c r="Q26" s="34">
        <f>+P26*(1+'Input data'!Q33/100)</f>
        <v>32.025830946664328</v>
      </c>
      <c r="R26" s="34">
        <f>+Q26*(1+'Input data'!R33/100)</f>
        <v>32.559336454072429</v>
      </c>
      <c r="S26" s="34">
        <f>+R26*(1+'Input data'!S33/100)</f>
        <v>33.130027712418574</v>
      </c>
      <c r="T26" s="34">
        <f>+S26*(1+'Input data'!T33/100)</f>
        <v>33.728667766465627</v>
      </c>
      <c r="U26" s="34">
        <f>+T26*(1+'Input data'!U33/100)</f>
        <v>34.360231673805849</v>
      </c>
      <c r="V26" s="34">
        <f>+U26*(1+'Input data'!V33/100)</f>
        <v>35.027612858822394</v>
      </c>
      <c r="W26" s="34">
        <f>+V26*(1+'Input data'!W33/100)</f>
        <v>35.696466877742253</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100*(C22/C26-1)</f>
        <v>2.5361073565498105</v>
      </c>
      <c r="D29" s="100">
        <f t="shared" ref="D29:T29" si="4">100*(D22/D26-1)</f>
        <v>4.1853796728435144</v>
      </c>
      <c r="E29" s="100">
        <f t="shared" si="4"/>
        <v>2.5734216724739856</v>
      </c>
      <c r="F29" s="100">
        <f t="shared" si="4"/>
        <v>1.6167951324849383</v>
      </c>
      <c r="G29" s="34">
        <f t="shared" si="4"/>
        <v>1.0997006450576441</v>
      </c>
      <c r="H29" s="34">
        <f t="shared" si="4"/>
        <v>0.73313426032928231</v>
      </c>
      <c r="I29" s="34">
        <f t="shared" si="4"/>
        <v>0.2443700869897425</v>
      </c>
      <c r="J29" s="34">
        <f t="shared" si="4"/>
        <v>-1.0411609441263181E-5</v>
      </c>
      <c r="K29" s="34">
        <f t="shared" si="4"/>
        <v>-1.0411609452365411E-5</v>
      </c>
      <c r="L29" s="34">
        <f t="shared" si="4"/>
        <v>-8.4426618141009158E-6</v>
      </c>
      <c r="M29" s="34">
        <f t="shared" si="4"/>
        <v>-8.4426618141009158E-6</v>
      </c>
      <c r="N29" s="34">
        <f t="shared" si="4"/>
        <v>-1.0413111362073124E-5</v>
      </c>
      <c r="O29" s="34">
        <f t="shared" si="4"/>
        <v>-8.4421332258166615E-6</v>
      </c>
      <c r="P29" s="34">
        <f t="shared" si="4"/>
        <v>-1.0411859940884227E-5</v>
      </c>
      <c r="Q29" s="34">
        <f t="shared" si="4"/>
        <v>-1.336457512435274E-5</v>
      </c>
      <c r="R29" s="34">
        <f t="shared" si="4"/>
        <v>-1.631541781677015E-5</v>
      </c>
      <c r="S29" s="34">
        <f t="shared" si="4"/>
        <v>-1.9263739947650294E-5</v>
      </c>
      <c r="T29" s="34">
        <f t="shared" si="4"/>
        <v>-1.8281488822768921E-5</v>
      </c>
      <c r="U29" s="34">
        <f t="shared" ref="U29:W29" si="5">100*(U22/U26-1)</f>
        <v>-1.435501220115043E-5</v>
      </c>
      <c r="V29" s="34">
        <f t="shared" si="5"/>
        <v>-1.435501220115043E-5</v>
      </c>
      <c r="W29" s="34">
        <f t="shared" si="5"/>
        <v>-1.5336274783450676E-5</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12.863001691856368</v>
      </c>
      <c r="D32" s="2">
        <f t="shared" si="6"/>
        <v>11.430702050949048</v>
      </c>
      <c r="E32" s="2">
        <f t="shared" si="6"/>
        <v>7.3089281278882812</v>
      </c>
      <c r="F32" s="2">
        <f t="shared" si="6"/>
        <v>6.5951837746716091</v>
      </c>
      <c r="G32" s="1">
        <f t="shared" si="6"/>
        <v>5.4581989819325161</v>
      </c>
      <c r="H32" s="1">
        <f t="shared" si="6"/>
        <v>4.6482302030670164</v>
      </c>
      <c r="I32" s="1">
        <f t="shared" si="6"/>
        <v>3.9977090889159461</v>
      </c>
      <c r="J32" s="1">
        <f t="shared" si="6"/>
        <v>4.0786592838835789</v>
      </c>
      <c r="K32" s="1">
        <f t="shared" si="6"/>
        <v>4.1665415546412454</v>
      </c>
      <c r="L32" s="1">
        <f t="shared" si="6"/>
        <v>4.1006995930137569</v>
      </c>
      <c r="M32" s="1">
        <f t="shared" si="6"/>
        <v>4.0696045453437524</v>
      </c>
      <c r="N32" s="1">
        <f t="shared" si="6"/>
        <v>4.0657254167923318</v>
      </c>
      <c r="O32" s="1">
        <f t="shared" si="6"/>
        <v>4.0599985005000061</v>
      </c>
      <c r="P32" s="1">
        <f t="shared" si="6"/>
        <v>4.0981857313250103</v>
      </c>
      <c r="Q32" s="1">
        <f t="shared" si="6"/>
        <v>4.136341605650018</v>
      </c>
      <c r="R32" s="1">
        <f t="shared" si="6"/>
        <v>4.1744620214750006</v>
      </c>
      <c r="S32" s="1">
        <f t="shared" si="6"/>
        <v>4.2355375879999935</v>
      </c>
      <c r="T32" s="1">
        <f t="shared" si="6"/>
        <v>4.2630344757500049</v>
      </c>
      <c r="U32" s="1">
        <f t="shared" si="6"/>
        <v>4.3021468387999917</v>
      </c>
      <c r="V32" s="1">
        <f t="shared" si="6"/>
        <v>4.3455968875249829</v>
      </c>
      <c r="W32" s="1">
        <f t="shared" si="6"/>
        <v>4.2839954432000171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1.716024</v>
      </c>
      <c r="D35" s="100">
        <f>'Input data'!D37</f>
        <v>1.648296</v>
      </c>
      <c r="E35" s="100">
        <f>'Input data'!E37</f>
        <v>1.80772</v>
      </c>
      <c r="F35" s="100">
        <f>'Input data'!F37</f>
        <v>1.9077200000000001</v>
      </c>
      <c r="G35" s="100">
        <f>'Input data'!G37</f>
        <v>1.9077200000000001</v>
      </c>
      <c r="H35" s="34">
        <f>H92</f>
        <v>2.0510578068871177</v>
      </c>
      <c r="I35" s="34">
        <f t="shared" ref="I35:W35" si="7">I92</f>
        <v>2.1928297708470597</v>
      </c>
      <c r="J35" s="34">
        <f t="shared" si="7"/>
        <v>2.3254135666366342</v>
      </c>
      <c r="K35" s="34">
        <f>K92</f>
        <v>2.563053873109562</v>
      </c>
      <c r="L35" s="34">
        <f t="shared" si="7"/>
        <v>2.6654743781161585</v>
      </c>
      <c r="M35" s="34">
        <f t="shared" si="7"/>
        <v>2.7503168914849998</v>
      </c>
      <c r="N35" s="34">
        <f t="shared" si="7"/>
        <v>2.8370176577301032</v>
      </c>
      <c r="O35" s="34">
        <f t="shared" si="7"/>
        <v>2.8613033742282625</v>
      </c>
      <c r="P35" s="34">
        <f t="shared" si="7"/>
        <v>2.8811904050057238</v>
      </c>
      <c r="Q35" s="34">
        <f t="shared" si="7"/>
        <v>2.8978064612574546</v>
      </c>
      <c r="R35" s="34">
        <f t="shared" si="7"/>
        <v>2.9141181941851926</v>
      </c>
      <c r="S35" s="34">
        <f t="shared" si="7"/>
        <v>2.9277471166231535</v>
      </c>
      <c r="T35" s="34">
        <f t="shared" si="7"/>
        <v>2.9394468114623864</v>
      </c>
      <c r="U35" s="34">
        <f t="shared" si="7"/>
        <v>2.9444474078066603</v>
      </c>
      <c r="V35" s="34">
        <f t="shared" si="7"/>
        <v>2.944447411481999</v>
      </c>
      <c r="W35" s="34">
        <f t="shared" si="7"/>
        <v>2.944447411481999</v>
      </c>
    </row>
    <row r="36" spans="2:51" x14ac:dyDescent="0.2">
      <c r="B36" s="32" t="s">
        <v>94</v>
      </c>
      <c r="C36" s="1"/>
      <c r="D36" s="2">
        <f>'Input data'!D$39</f>
        <v>2.96</v>
      </c>
      <c r="E36" s="2">
        <f>'Input data'!E$39</f>
        <v>3.91</v>
      </c>
      <c r="F36" s="166">
        <f>'Input data'!F$39</f>
        <v>3.3161689999999999</v>
      </c>
      <c r="G36" s="166">
        <f>'Input data'!G$39</f>
        <v>3.3153579999999998</v>
      </c>
      <c r="H36" s="1">
        <f>G36+($O$36-$G$36)/($O$10-$G$10)</f>
        <v>3.381707</v>
      </c>
      <c r="I36" s="1">
        <f t="shared" ref="I36:J36" si="8">H36+($O$36-$G$36)/($O$10-$G$10)</f>
        <v>3.4480560000000002</v>
      </c>
      <c r="J36" s="1">
        <f t="shared" si="8"/>
        <v>3.5144050000000004</v>
      </c>
      <c r="K36" s="1">
        <f>IF('Criteria results'!$F$5=4,IF(J56&gt;90,G36+('Input data'!$C$52-$G$36)/($O$10-$G$10)*(K10-$G$10)+1+0.06*(J56-90),G36+('Input data'!$C$52-$G$36)/($O$10-$G$10)*(K10-$G$10)+1),G36+('Input data'!$C$52-$G$36)/($O$10-$G$10)*(K10-$G$10))</f>
        <v>4.5807539999999998</v>
      </c>
      <c r="L36" s="1">
        <f>$G$36+('Input data'!$C$52-$G$36)/($O$10-$G$10)*(L10-$G$10)</f>
        <v>3.647103</v>
      </c>
      <c r="M36" s="1">
        <f>$G$36+('Input data'!$C$52-$G$36)/($O$10-$G$10)*(M10-$G$10)</f>
        <v>3.7134520000000002</v>
      </c>
      <c r="N36" s="1">
        <f>IF('Criteria results'!$F$5=7,IF(M56&gt;90,G36+('Input data'!$C$52-$G$36)/($O$10-$G$10)*(N10-$G$10)+1+0.06*(M56-90),G36+('Input data'!$C$52-$G$36)/($O$10-$G$10)*(N10-$G$10)+1),G36+('Input data'!$C$52-$G$36)/($O$10-$G$10)*(N10-$G$10))</f>
        <v>3.779801</v>
      </c>
      <c r="O36" s="252">
        <f>'Baseline NFPC'!O36</f>
        <v>3.8461500000000002</v>
      </c>
      <c r="P36" s="1">
        <f>'Baseline NFPC'!P36</f>
        <v>3.8538425000000003</v>
      </c>
      <c r="Q36" s="1">
        <f>'Baseline NFPC'!Q36</f>
        <v>3.8615349999999999</v>
      </c>
      <c r="R36" s="1">
        <f>'Baseline NFPC'!R36</f>
        <v>3.8692275</v>
      </c>
      <c r="S36" s="1">
        <f>'Baseline NFPC'!S36</f>
        <v>3.8769200000000001</v>
      </c>
      <c r="T36" s="1">
        <f>'Baseline NFPC'!T36</f>
        <v>3.8846125000000002</v>
      </c>
      <c r="U36" s="1">
        <f>'Baseline NFPC'!U36</f>
        <v>3.8923050000000003</v>
      </c>
      <c r="V36" s="1">
        <f>'Baseline NFPC'!V36</f>
        <v>3.8999975</v>
      </c>
      <c r="W36" s="1">
        <f>'Baseline NFPC'!W36</f>
        <v>3.9076900000000001</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J37" si="9">H37+($O$37-$G$37)/($O$10-$G$10)</f>
        <v>2.7938037499999995</v>
      </c>
      <c r="J37" s="1">
        <f t="shared" si="9"/>
        <v>2.7825181249999993</v>
      </c>
      <c r="K37" s="1">
        <f>IF('Criteria results'!$F$5=4,IF(J56&gt;90,G37+('Input data'!$C$53-$G$37)/($O$10-$G$10)*(K10-$G$10)+1+0.06*(J56-90),G37+('Input data'!$C$53-$G$37)/($O$10-$G$10)*(K10-$G$10)+1),G37+('Input data'!$C$53-$G$37)/($O$10-$G$10)*(K10-$G$10))</f>
        <v>3.7712325</v>
      </c>
      <c r="L37" s="1">
        <f>$G$37+('Input data'!$C$53-$G$37)/($O$10-$G$10)*(L10-$G$10)</f>
        <v>2.7599468749999998</v>
      </c>
      <c r="M37" s="1">
        <f>$G$37+('Input data'!$C$53-$G$37)/($O$10-$G$10)*(M10-$G$10)</f>
        <v>2.7486612500000001</v>
      </c>
      <c r="N37" s="1">
        <f>IF('Criteria results'!$F$5=7,IF(M56&gt;90,G37+('Input data'!$C$53-$G$37)/($O$10-$G$10)*(N10-$G$10)+1+0.06*(M56-90),G37+('Input data'!$C$53-$G$37)/($O$10-$G$10)*(N10-$G$10)+1),G37+('Input data'!$C$53-$G$37)/($O$10-$G$10)*(N10-$G$10))</f>
        <v>2.7373756250000003</v>
      </c>
      <c r="O37" s="252">
        <f>'Baseline NFPC'!O37</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3.8019160000000003E-2</v>
      </c>
      <c r="D38" s="34">
        <f>'Baseline NFPC'!D38</f>
        <v>7.8597440000000005E-2</v>
      </c>
      <c r="E38" s="34">
        <f>'Baseline NFPC'!E38</f>
        <v>5.9475470000000003E-2</v>
      </c>
      <c r="F38" s="34">
        <f>'Baseline NFPC'!F38</f>
        <v>9.6876959999999998E-2</v>
      </c>
      <c r="G38" s="34">
        <f>'Baseline NFPC'!G38</f>
        <v>0.11684023</v>
      </c>
      <c r="H38" s="34">
        <f>'Baseline NFPC'!H38</f>
        <v>0.13811532000000001</v>
      </c>
      <c r="I38" s="34">
        <f>'Baseline NFPC'!I38</f>
        <v>0.13659083</v>
      </c>
      <c r="J38" s="34">
        <f>'Baseline NFPC'!J38</f>
        <v>0.14219135999999999</v>
      </c>
      <c r="K38" s="34">
        <f>'Baseline NFPC'!K38</f>
        <v>0.1389396</v>
      </c>
      <c r="L38" s="34">
        <f>'Baseline NFPC'!L38</f>
        <v>0.12512538000000001</v>
      </c>
      <c r="M38" s="34">
        <f>'Baseline NFPC'!M38</f>
        <v>0.12849179999999999</v>
      </c>
      <c r="N38" s="34">
        <f>'Baseline NFPC'!N38</f>
        <v>7.2085140000000006E-2</v>
      </c>
      <c r="O38" s="34">
        <f>'Baseline NFPC'!O38</f>
        <v>6.8681389999999995E-2</v>
      </c>
      <c r="P38" s="34">
        <f>'Baseline NFPC'!P38</f>
        <v>6.8049499999999999E-2</v>
      </c>
      <c r="Q38" s="34">
        <f>'Baseline NFPC'!Q38</f>
        <v>6.8080779999999994E-2</v>
      </c>
      <c r="R38" s="34">
        <f>'Baseline NFPC'!R38</f>
        <v>6.7666320000000002E-2</v>
      </c>
      <c r="S38" s="34">
        <f>'Baseline NFPC'!S38</f>
        <v>6.9220519999999994E-2</v>
      </c>
      <c r="T38" s="34">
        <f>'Baseline NFPC'!T38</f>
        <v>6.6629789999999994E-2</v>
      </c>
      <c r="U38" s="34">
        <f>'Baseline NFPC'!U38</f>
        <v>6.6434309999999996E-2</v>
      </c>
      <c r="V38" s="34">
        <f>'Baseline NFPC'!V38</f>
        <v>6.6393380000000002E-2</v>
      </c>
      <c r="W38" s="34">
        <f>'Baseline NFPC'!W38</f>
        <v>6.621254E-2</v>
      </c>
    </row>
    <row r="39" spans="2:51" x14ac:dyDescent="0.2">
      <c r="C39" s="1"/>
      <c r="D39" s="1"/>
      <c r="E39" s="1"/>
      <c r="F39" s="1"/>
      <c r="G39" s="99"/>
      <c r="H39" s="99"/>
      <c r="I39" s="99"/>
      <c r="J39" s="99"/>
      <c r="K39" s="99"/>
      <c r="L39" s="99"/>
      <c r="M39" s="99"/>
      <c r="N39" s="99"/>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99"/>
      <c r="H40" s="99"/>
      <c r="I40" s="99"/>
      <c r="J40" s="99"/>
      <c r="K40" s="99"/>
      <c r="L40" s="99"/>
      <c r="M40" s="99"/>
      <c r="N40" s="99"/>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2.685441</v>
      </c>
      <c r="D41" s="2">
        <f>'Input data'!D42</f>
        <v>6.0659559999999999</v>
      </c>
      <c r="E41" s="2">
        <f>'Input data'!E42</f>
        <v>4.7312440000000002</v>
      </c>
      <c r="F41" s="2">
        <f>'Input data'!F42</f>
        <v>3.7133859999999999</v>
      </c>
      <c r="G41" s="2">
        <f>'Input data'!G42</f>
        <v>2.3751250000000002</v>
      </c>
      <c r="H41" s="1">
        <f>'Baseline NFPC'!H41</f>
        <v>2.3969843750000002</v>
      </c>
      <c r="I41" s="1">
        <f>'Baseline NFPC'!I41</f>
        <v>2.4188437500000002</v>
      </c>
      <c r="J41" s="1">
        <f>'Baseline NFPC'!J41</f>
        <v>2.4407031250000002</v>
      </c>
      <c r="K41" s="1">
        <f>'Baseline NFPC'!K41</f>
        <v>2.4625624999999998</v>
      </c>
      <c r="L41" s="1">
        <f>'Baseline NFPC'!L41</f>
        <v>2.4844218749999998</v>
      </c>
      <c r="M41" s="1">
        <f>'Baseline NFPC'!M41</f>
        <v>2.5062812499999998</v>
      </c>
      <c r="N41" s="1">
        <f>'Baseline NFPC'!N41</f>
        <v>2.5281406249999998</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v>
      </c>
      <c r="D42" s="1">
        <f>'Baseline NFPC'!D42</f>
        <v>1</v>
      </c>
      <c r="E42" s="1">
        <f>'Baseline NFPC'!E42</f>
        <v>1</v>
      </c>
      <c r="F42" s="1">
        <f>'Baseline NFPC'!F42</f>
        <v>1</v>
      </c>
      <c r="G42" s="1">
        <f>'Baseline NFPC'!G42</f>
        <v>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257</v>
      </c>
      <c r="C47" s="57">
        <f>'Input data'!C50</f>
        <v>0.504</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v>
      </c>
      <c r="I50" s="34">
        <f t="shared" si="10"/>
        <v>0</v>
      </c>
      <c r="J50" s="34">
        <f t="shared" si="10"/>
        <v>0</v>
      </c>
      <c r="K50" s="34">
        <f t="shared" si="10"/>
        <v>0</v>
      </c>
      <c r="L50" s="34">
        <f t="shared" si="10"/>
        <v>0</v>
      </c>
      <c r="M50" s="34">
        <f t="shared" si="10"/>
        <v>0</v>
      </c>
      <c r="N50" s="34">
        <f t="shared" si="10"/>
        <v>0</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5.0579340000000004</v>
      </c>
      <c r="E51" s="34">
        <f>'Input data'!E30-$C$46*((E12-D12)-('Input data'!E13-'Input data'!D13))</f>
        <v>2.4612370000000001</v>
      </c>
      <c r="F51" s="34">
        <f>'Input data'!F30-$C$46*((F12-E12)-('Input data'!F13-'Input data'!E13))</f>
        <v>2.7786170000000001</v>
      </c>
      <c r="G51" s="34">
        <f>'Input data'!G30-$C$46*((G12-F12))</f>
        <v>3.0115460000000001</v>
      </c>
      <c r="H51" s="34">
        <f>'Input data'!H30-$C$46*((H12-G12))</f>
        <v>2.198547</v>
      </c>
      <c r="I51" s="34">
        <f>'Input data'!I30-$C$46*((I12-H12))</f>
        <v>1.541577</v>
      </c>
      <c r="J51" s="34">
        <f>'Input data'!J30-$C$46*((J12-I12))</f>
        <v>1.5989310000000001</v>
      </c>
      <c r="K51" s="34">
        <f>'Input data'!K30-$C$46*((K12-J12))</f>
        <v>1.6630259999999999</v>
      </c>
      <c r="L51" s="34">
        <f>'Input data'!L30-$C$46*((L12-K12))</f>
        <v>1.5770960000000001</v>
      </c>
      <c r="M51" s="34">
        <f>'Input data'!M30-$C$46*((M12-L12))</f>
        <v>1.5250999999999999</v>
      </c>
      <c r="N51" s="34">
        <f>'Input data'!N30-$C$46*((N12-M12))</f>
        <v>1.499671</v>
      </c>
      <c r="O51" s="34">
        <f>'Input data'!O30-$C$46*((O12-N12))</f>
        <v>1.472451</v>
      </c>
      <c r="P51" s="34">
        <f>'Input data'!P30-$C$46*((P12-O12))</f>
        <v>1.5369170000000001</v>
      </c>
      <c r="Q51" s="34">
        <f>'Input data'!Q30-$C$46*((Q12-P12))</f>
        <v>1.6013869999999999</v>
      </c>
      <c r="R51" s="34">
        <f>'Input data'!R30-$C$46*((R12-Q12))</f>
        <v>1.6658569999999999</v>
      </c>
      <c r="S51" s="34">
        <f>'Input data'!S30-$C$46*((S12-R12))</f>
        <v>1.7527699999999999</v>
      </c>
      <c r="T51" s="34">
        <f>'Input data'!T30-$C$46*((T12-S12))</f>
        <v>1.806942</v>
      </c>
      <c r="U51" s="34">
        <f>'Input data'!U30-$C$46*((U12-T12))</f>
        <v>1.8724879999999999</v>
      </c>
      <c r="V51" s="34">
        <f>'Input data'!V30-$C$46*((V12-U12))</f>
        <v>1.942307</v>
      </c>
      <c r="W51" s="34">
        <f>'Input data'!W30-$C$46*((W12-V12))</f>
        <v>1.9095040000000001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99.250230000000002</v>
      </c>
      <c r="D56" s="45">
        <f>+C56+D57</f>
        <v>85.595287844886869</v>
      </c>
      <c r="E56" s="45">
        <f t="shared" ref="E56:T56" si="11">+D56+E57</f>
        <v>77.284440321959977</v>
      </c>
      <c r="F56" s="45">
        <f>+E56+F57</f>
        <v>70.579945075187567</v>
      </c>
      <c r="G56" s="45">
        <f>+F56+G57</f>
        <v>65.467738950078513</v>
      </c>
      <c r="H56" s="45">
        <f>+G56+H57</f>
        <v>59.99104804318636</v>
      </c>
      <c r="I56" s="45">
        <f t="shared" si="11"/>
        <v>55.344336413083951</v>
      </c>
      <c r="J56" s="45">
        <f t="shared" si="11"/>
        <v>50.929639670376446</v>
      </c>
      <c r="K56" s="45">
        <f>+J56+K57</f>
        <v>46.548692197773534</v>
      </c>
      <c r="L56" s="45">
        <f t="shared" si="11"/>
        <v>42.553495010505735</v>
      </c>
      <c r="M56" s="45">
        <f t="shared" si="11"/>
        <v>38.904677722763694</v>
      </c>
      <c r="N56" s="45">
        <f t="shared" si="11"/>
        <v>35.532869743259823</v>
      </c>
      <c r="O56" s="46">
        <f t="shared" si="11"/>
        <v>32.447374709286031</v>
      </c>
      <c r="P56" s="46">
        <f>+O56+P57</f>
        <v>29.548483961840006</v>
      </c>
      <c r="Q56" s="46">
        <f t="shared" si="11"/>
        <v>26.894337564353137</v>
      </c>
      <c r="R56" s="46">
        <f t="shared" si="11"/>
        <v>24.415253958695605</v>
      </c>
      <c r="S56" s="46">
        <f t="shared" si="11"/>
        <v>22.071651948017312</v>
      </c>
      <c r="T56" s="46">
        <f t="shared" si="11"/>
        <v>19.862940021065107</v>
      </c>
      <c r="U56" s="46">
        <f t="shared" ref="U56" si="12">+T56+U57</f>
        <v>17.477641173179201</v>
      </c>
      <c r="V56" s="46">
        <f t="shared" ref="V56" si="13">+U56+V57</f>
        <v>15.305886378250605</v>
      </c>
      <c r="W56" s="46">
        <f t="shared" ref="W56" si="14">+V56+W57</f>
        <v>13.191661945599082</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-13.654942155113131</v>
      </c>
      <c r="E57" s="47">
        <f t="shared" ref="E57:S57" si="15">-E58+E66+E71</f>
        <v>-8.3108475229268901</v>
      </c>
      <c r="F57" s="47">
        <f>-F58+F66+F71</f>
        <v>-6.7044952467724084</v>
      </c>
      <c r="G57" s="47">
        <f>-G58+G66+G71</f>
        <v>-5.1122061251090507</v>
      </c>
      <c r="H57" s="47">
        <f>-H58+H66+H71</f>
        <v>-5.4766909068921494</v>
      </c>
      <c r="I57" s="47">
        <f t="shared" si="15"/>
        <v>-4.6467116301024092</v>
      </c>
      <c r="J57" s="47">
        <f t="shared" si="15"/>
        <v>-4.4146967427075072</v>
      </c>
      <c r="K57" s="47">
        <f t="shared" si="15"/>
        <v>-4.3809474726029096</v>
      </c>
      <c r="L57" s="47">
        <f t="shared" si="15"/>
        <v>-3.9951971872677987</v>
      </c>
      <c r="M57" s="47">
        <f t="shared" si="15"/>
        <v>-3.6488172877420419</v>
      </c>
      <c r="N57" s="47">
        <f t="shared" si="15"/>
        <v>-3.371807979503874</v>
      </c>
      <c r="O57" s="47">
        <f t="shared" si="15"/>
        <v>-3.0854950339737921</v>
      </c>
      <c r="P57" s="47">
        <f>-P58+P66+P71</f>
        <v>-2.8988907474460244</v>
      </c>
      <c r="Q57" s="47">
        <f t="shared" si="15"/>
        <v>-2.6541463974868709</v>
      </c>
      <c r="R57" s="47">
        <f t="shared" si="15"/>
        <v>-2.4790836056575309</v>
      </c>
      <c r="S57" s="47">
        <f t="shared" si="15"/>
        <v>-2.3436020106782935</v>
      </c>
      <c r="T57" s="47">
        <f>-T58+T66+T71</f>
        <v>-2.2087119269522035</v>
      </c>
      <c r="U57" s="47">
        <f>-U58+U66+U71</f>
        <v>-2.3852988478859061</v>
      </c>
      <c r="V57" s="47">
        <f t="shared" ref="V57:W57" si="16">-V58+V66+V71</f>
        <v>-2.1717547949285949</v>
      </c>
      <c r="W57" s="47">
        <f t="shared" si="16"/>
        <v>-2.114224432651524</v>
      </c>
    </row>
    <row r="58" spans="2:48" outlineLevel="1" x14ac:dyDescent="0.2">
      <c r="B58" s="84" t="s">
        <v>106</v>
      </c>
      <c r="C58" s="48"/>
      <c r="D58" s="48">
        <f>D59+D60-D61-D62-D63-D64-D65</f>
        <v>4.1969893551131312</v>
      </c>
      <c r="E58" s="48">
        <f t="shared" ref="E58:S58" si="17">E59+E60-E61-E62-E63-E64-E65</f>
        <v>4.5240515229268894</v>
      </c>
      <c r="F58" s="48">
        <f t="shared" si="17"/>
        <v>4.2972697467724092</v>
      </c>
      <c r="G58" s="48">
        <f t="shared" si="17"/>
        <v>4.0366541251090524</v>
      </c>
      <c r="H58" s="48">
        <f t="shared" si="17"/>
        <v>3.8519046672059583</v>
      </c>
      <c r="I58" s="48">
        <f t="shared" si="17"/>
        <v>3.6055675238428302</v>
      </c>
      <c r="J58" s="48">
        <f t="shared" si="17"/>
        <v>3.4823997525488415</v>
      </c>
      <c r="K58" s="48">
        <f t="shared" si="17"/>
        <v>3.5969620525488351</v>
      </c>
      <c r="L58" s="48">
        <f t="shared" si="17"/>
        <v>3.3534353448984429</v>
      </c>
      <c r="M58" s="48">
        <f t="shared" si="17"/>
        <v>3.109367744898444</v>
      </c>
      <c r="N58" s="48">
        <f t="shared" si="17"/>
        <v>2.9124590517918709</v>
      </c>
      <c r="O58" s="48">
        <f t="shared" si="17"/>
        <v>2.6761823451648521</v>
      </c>
      <c r="P58" s="48">
        <f t="shared" si="17"/>
        <v>2.5195536524225828</v>
      </c>
      <c r="Q58" s="48">
        <f t="shared" si="17"/>
        <v>2.3027144642541306</v>
      </c>
      <c r="R58" s="48">
        <f t="shared" si="17"/>
        <v>2.1537052770294149</v>
      </c>
      <c r="S58" s="48">
        <f t="shared" si="17"/>
        <v>2.0372761910750574</v>
      </c>
      <c r="T58" s="48">
        <f>T59+T60-T61-T62-T63-T64-T65</f>
        <v>1.9285189861296335</v>
      </c>
      <c r="U58" s="48">
        <f>U59+U60-U61-U62-U63-U64-U65</f>
        <v>2.126743265073848</v>
      </c>
      <c r="V58" s="48">
        <f t="shared" ref="V58:W58" si="18">V59+V60-V61-V62-V63-V64-V65</f>
        <v>1.9370655650738433</v>
      </c>
      <c r="W58" s="48">
        <f t="shared" si="18"/>
        <v>1.9176173705175044</v>
      </c>
    </row>
    <row r="59" spans="2:48" outlineLevel="1" x14ac:dyDescent="0.2">
      <c r="B59" s="79" t="s">
        <v>107</v>
      </c>
      <c r="C59" s="1"/>
      <c r="D59" s="1">
        <f>D12</f>
        <v>2.087558</v>
      </c>
      <c r="E59" s="1">
        <f>E12</f>
        <v>3.2270470000000002</v>
      </c>
      <c r="F59" s="1">
        <f>F12</f>
        <v>3.482405</v>
      </c>
      <c r="G59" s="1">
        <f t="shared" ref="G59:W59" si="19">IF(G12="",F59,G12)</f>
        <v>3.482405</v>
      </c>
      <c r="H59" s="1">
        <f t="shared" si="19"/>
        <v>3.482405</v>
      </c>
      <c r="I59" s="1">
        <f t="shared" si="19"/>
        <v>3.482405</v>
      </c>
      <c r="J59" s="1">
        <f t="shared" si="19"/>
        <v>3.482405</v>
      </c>
      <c r="K59" s="1">
        <f t="shared" si="19"/>
        <v>3.482405</v>
      </c>
      <c r="L59" s="1">
        <f t="shared" si="19"/>
        <v>3.482405</v>
      </c>
      <c r="M59" s="1">
        <f t="shared" si="19"/>
        <v>3.482405</v>
      </c>
      <c r="N59" s="1">
        <f t="shared" si="19"/>
        <v>3.482405</v>
      </c>
      <c r="O59" s="1">
        <f t="shared" si="19"/>
        <v>3.482405</v>
      </c>
      <c r="P59" s="1">
        <f t="shared" si="19"/>
        <v>3.482405</v>
      </c>
      <c r="Q59" s="1">
        <f t="shared" si="19"/>
        <v>3.482405</v>
      </c>
      <c r="R59" s="1">
        <f t="shared" si="19"/>
        <v>3.482405</v>
      </c>
      <c r="S59" s="1">
        <f t="shared" si="19"/>
        <v>3.482405</v>
      </c>
      <c r="T59" s="1">
        <f t="shared" si="19"/>
        <v>3.482405</v>
      </c>
      <c r="U59" s="1">
        <f t="shared" si="19"/>
        <v>3.482405</v>
      </c>
      <c r="V59" s="1">
        <f t="shared" si="19"/>
        <v>3.482405</v>
      </c>
      <c r="W59" s="1">
        <f t="shared" si="19"/>
        <v>3.482405</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-2.1094313551131312</v>
      </c>
      <c r="E61" s="1">
        <f t="shared" si="20"/>
        <v>-1.2970045229268887</v>
      </c>
      <c r="F61" s="1">
        <f t="shared" si="20"/>
        <v>-0.81486474677240894</v>
      </c>
      <c r="G61" s="1">
        <f t="shared" si="20"/>
        <v>-0.55424912510905266</v>
      </c>
      <c r="H61" s="1">
        <f t="shared" si="20"/>
        <v>-0.36949966720595828</v>
      </c>
      <c r="I61" s="1">
        <f t="shared" si="20"/>
        <v>-0.12316252384283022</v>
      </c>
      <c r="J61" s="1">
        <f t="shared" si="20"/>
        <v>5.2474511583966429E-6</v>
      </c>
      <c r="K61" s="1">
        <f t="shared" si="20"/>
        <v>5.2474511639921671E-6</v>
      </c>
      <c r="L61" s="1">
        <f t="shared" si="20"/>
        <v>4.2551015543068619E-6</v>
      </c>
      <c r="M61" s="1">
        <f t="shared" si="20"/>
        <v>4.2551015543068619E-6</v>
      </c>
      <c r="N61" s="1">
        <f t="shared" si="20"/>
        <v>5.2482081264848544E-6</v>
      </c>
      <c r="O61" s="1">
        <f t="shared" si="20"/>
        <v>4.2548351458115976E-6</v>
      </c>
      <c r="P61" s="1">
        <f t="shared" si="20"/>
        <v>5.2475774102056507E-6</v>
      </c>
      <c r="Q61" s="1">
        <f t="shared" si="20"/>
        <v>6.7357458626737811E-6</v>
      </c>
      <c r="R61" s="1">
        <f t="shared" si="20"/>
        <v>8.2229705796521561E-6</v>
      </c>
      <c r="S61" s="1">
        <f t="shared" si="20"/>
        <v>9.7089249336157473E-6</v>
      </c>
      <c r="T61" s="1">
        <f t="shared" si="20"/>
        <v>9.2138703666755362E-6</v>
      </c>
      <c r="U61" s="1">
        <f t="shared" si="20"/>
        <v>7.234926149379817E-6</v>
      </c>
      <c r="V61" s="1">
        <f t="shared" si="20"/>
        <v>7.234926149379817E-6</v>
      </c>
      <c r="W61" s="1">
        <f t="shared" si="20"/>
        <v>7.7294824908591405E-6</v>
      </c>
    </row>
    <row r="62" spans="2:48" outlineLevel="1" x14ac:dyDescent="0.2">
      <c r="B62" s="79" t="s">
        <v>110</v>
      </c>
      <c r="C62" s="1"/>
      <c r="D62" s="1">
        <f t="shared" ref="D62:W62" si="21">-D13</f>
        <v>0</v>
      </c>
      <c r="E62" s="1">
        <f t="shared" si="21"/>
        <v>0</v>
      </c>
      <c r="F62" s="1">
        <f t="shared" si="21"/>
        <v>0</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-0.12070999999999898</v>
      </c>
      <c r="L63" s="1">
        <f>IF(L$55&lt;=$C$6,0,HLOOKUP(L$55,'Input data'!$C$9:$BB$26,12,FALSE)-HLOOKUP($C$6,'Input data'!$C$9:$BB$26,12,FALSE))</f>
        <v>0.11667000000000272</v>
      </c>
      <c r="M63" s="1">
        <f>IF(M$55&lt;=$C$6,0,HLOOKUP(M$55,'Input data'!$C$9:$BB$26,12,FALSE)-HLOOKUP($C$6,'Input data'!$C$9:$BB$26,12,FALSE))</f>
        <v>0.35459000000000174</v>
      </c>
      <c r="N63" s="1">
        <f>IF(N$55&lt;=$C$6,0,HLOOKUP(N$55,'Input data'!$C$9:$BB$26,12,FALSE)-HLOOKUP($C$6,'Input data'!$C$9:$BB$26,12,FALSE))</f>
        <v>0.54535000000000267</v>
      </c>
      <c r="O63" s="1">
        <f>IF(O$55&lt;=$C$6,0,HLOOKUP(O$55,'Input data'!$C$9:$BB$26,12,FALSE)-HLOOKUP($C$6,'Input data'!$C$9:$BB$26,12,FALSE))</f>
        <v>0.77548000000000172</v>
      </c>
      <c r="P63" s="1">
        <f>IF(P$55&lt;=$C$6,0,HLOOKUP(P$55,'Input data'!$C$9:$BB$26,12,FALSE)-HLOOKUP($C$6,'Input data'!$C$9:$BB$26,12,FALSE))</f>
        <v>0.925960000000007</v>
      </c>
      <c r="Q63" s="1">
        <f>IF(Q$55&lt;=$C$6,0,HLOOKUP(Q$55,'Input data'!$C$9:$BB$26,12,FALSE)-HLOOKUP($C$6,'Input data'!$C$9:$BB$26,12,FALSE))</f>
        <v>1.1366500000000066</v>
      </c>
      <c r="R63" s="1">
        <f>IF(R$55&lt;=$C$6,0,HLOOKUP(R$55,'Input data'!$C$9:$BB$26,12,FALSE)-HLOOKUP($C$6,'Input data'!$C$9:$BB$26,12,FALSE))</f>
        <v>1.2795100000000055</v>
      </c>
      <c r="S63" s="1">
        <f>IF(S$55&lt;=$C$6,0,HLOOKUP(S$55,'Input data'!$C$9:$BB$26,12,FALSE)-HLOOKUP($C$6,'Input data'!$C$9:$BB$26,12,FALSE))</f>
        <v>1.3897900000000085</v>
      </c>
      <c r="T63" s="1">
        <f>IF(T$55&lt;=$C$6,0,HLOOKUP(T$55,'Input data'!$C$9:$BB$26,12,FALSE)-HLOOKUP($C$6,'Input data'!$C$9:$BB$26,12,FALSE))</f>
        <v>1.4923999999999999</v>
      </c>
      <c r="U63" s="1">
        <f>IF(U$55&lt;=$C$6,0,HLOOKUP(U$55,'Input data'!$C$9:$BB$26,12,FALSE)-HLOOKUP($C$6,'Input data'!$C$9:$BB$26,12,FALSE))</f>
        <v>1.2880300000000027</v>
      </c>
      <c r="V63" s="1">
        <f>IF(V$55&lt;=$C$6,0,HLOOKUP(V$55,'Input data'!$C$9:$BB$26,12,FALSE)-HLOOKUP($C$6,'Input data'!$C$9:$BB$26,12,FALSE))</f>
        <v>1.4715600000000073</v>
      </c>
      <c r="W63" s="1">
        <f>IF(W$55&lt;=$C$6,0,HLOOKUP(W$55,'Input data'!$C$9:$BB$26,12,FALSE)-HLOOKUP($C$6,'Input data'!$C$9:$BB$26,12,FALSE))</f>
        <v>1.4848600000000047</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6.1476999999999782E-3</v>
      </c>
      <c r="L64" s="1">
        <f>IF(L$55&lt;=$C$6,0,-HLOOKUP(L$55,'Input data'!$C$9:$BB$26,18,FALSE)+HLOOKUP($C$6,'Input data'!$C$9:$BB$26,18,FALSE))</f>
        <v>1.2295400000000012E-2</v>
      </c>
      <c r="M64" s="1">
        <f>IF(M$55&lt;=$C$6,0,-HLOOKUP(M$55,'Input data'!$C$9:$BB$26,18,FALSE)+HLOOKUP($C$6,'Input data'!$C$9:$BB$26,18,FALSE))</f>
        <v>1.8442999999999987E-2</v>
      </c>
      <c r="N64" s="1">
        <f>IF(N$55&lt;=$C$6,0,-HLOOKUP(N$55,'Input data'!$C$9:$BB$26,18,FALSE)+HLOOKUP($C$6,'Input data'!$C$9:$BB$26,18,FALSE))</f>
        <v>2.4590700000000021E-2</v>
      </c>
      <c r="O64" s="1">
        <f>IF(O$55&lt;=$C$6,0,-HLOOKUP(O$55,'Input data'!$C$9:$BB$26,18,FALSE)+HLOOKUP($C$6,'Input data'!$C$9:$BB$26,18,FALSE))</f>
        <v>3.0738399999999999E-2</v>
      </c>
      <c r="P64" s="1">
        <f>IF(P$55&lt;=$C$6,0,-HLOOKUP(P$55,'Input data'!$C$9:$BB$26,18,FALSE)+HLOOKUP($C$6,'Input data'!$C$9:$BB$26,18,FALSE))</f>
        <v>3.6886100000000033E-2</v>
      </c>
      <c r="Q64" s="1">
        <f>IF(Q$55&lt;=$C$6,0,-HLOOKUP(Q$55,'Input data'!$C$9:$BB$26,18,FALSE)+HLOOKUP($C$6,'Input data'!$C$9:$BB$26,18,FALSE))</f>
        <v>4.3033800000000011E-2</v>
      </c>
      <c r="R64" s="1">
        <f>IF(R$55&lt;=$C$6,0,-HLOOKUP(R$55,'Input data'!$C$9:$BB$26,18,FALSE)+HLOOKUP($C$6,'Input data'!$C$9:$BB$26,18,FALSE))</f>
        <v>4.9181499999999989E-2</v>
      </c>
      <c r="S64" s="1">
        <f>IF(S$55&lt;=$C$6,0,-HLOOKUP(S$55,'Input data'!$C$9:$BB$26,18,FALSE)+HLOOKUP($C$6,'Input data'!$C$9:$BB$26,18,FALSE))</f>
        <v>5.532910000000002E-2</v>
      </c>
      <c r="T64" s="1">
        <f>IF(T$55&lt;=$C$6,0,-HLOOKUP(T$55,'Input data'!$C$9:$BB$26,18,FALSE)+HLOOKUP($C$6,'Input data'!$C$9:$BB$26,18,FALSE))</f>
        <v>6.1476799999999998E-2</v>
      </c>
      <c r="U64" s="1">
        <f>IF(U$55&lt;=$C$6,0,-HLOOKUP(U$55,'Input data'!$C$9:$BB$26,18,FALSE)+HLOOKUP($C$6,'Input data'!$C$9:$BB$26,18,FALSE))</f>
        <v>6.7624500000000032E-2</v>
      </c>
      <c r="V64" s="1">
        <f>IF(V$55&lt;=$C$6,0,-HLOOKUP(V$55,'Input data'!$C$9:$BB$26,18,FALSE)+HLOOKUP($C$6,'Input data'!$C$9:$BB$26,18,FALSE))</f>
        <v>7.377220000000001E-2</v>
      </c>
      <c r="W64" s="1">
        <f>IF(W$55&lt;=$C$6,0,-HLOOKUP(W$55,'Input data'!$C$9:$BB$26,18,FALSE)+HLOOKUP($C$6,'Input data'!$C$9:$BB$26,18,FALSE))</f>
        <v>7.9919899999999988E-2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-8.7130919999999996</v>
      </c>
      <c r="E66" s="48">
        <f t="shared" si="22"/>
        <v>-4.3880540000000003</v>
      </c>
      <c r="F66" s="48">
        <f t="shared" si="22"/>
        <v>-3.398539</v>
      </c>
      <c r="G66" s="48">
        <f>SUM(G67:G70)</f>
        <v>-2.376224999999998</v>
      </c>
      <c r="H66" s="48">
        <f>SUM(H67:H70)</f>
        <v>-1.624786239686191</v>
      </c>
      <c r="I66" s="48">
        <f t="shared" si="22"/>
        <v>-1.0411441062595792</v>
      </c>
      <c r="J66" s="48">
        <f t="shared" si="22"/>
        <v>-0.93229699015866596</v>
      </c>
      <c r="K66" s="48">
        <f t="shared" si="22"/>
        <v>-0.78398542005407457</v>
      </c>
      <c r="L66" s="48">
        <f t="shared" si="22"/>
        <v>-0.64176184236935574</v>
      </c>
      <c r="M66" s="48">
        <f t="shared" si="22"/>
        <v>-0.53944954284359792</v>
      </c>
      <c r="N66" s="48">
        <f t="shared" si="22"/>
        <v>-0.45934892771200286</v>
      </c>
      <c r="O66" s="48">
        <f t="shared" si="22"/>
        <v>-0.4093126888089399</v>
      </c>
      <c r="P66" s="48">
        <f t="shared" si="22"/>
        <v>-0.37933709502344176</v>
      </c>
      <c r="Q66" s="48">
        <f t="shared" si="22"/>
        <v>-0.35143193323274025</v>
      </c>
      <c r="R66" s="48">
        <f t="shared" si="22"/>
        <v>-0.325378328628116</v>
      </c>
      <c r="S66" s="48">
        <f t="shared" si="22"/>
        <v>-0.30632581960323629</v>
      </c>
      <c r="T66" s="48">
        <f t="shared" si="22"/>
        <v>-0.28019294082256996</v>
      </c>
      <c r="U66" s="48">
        <f>SUM(U67:U70)</f>
        <v>-0.2585555828120582</v>
      </c>
      <c r="V66" s="48">
        <f t="shared" ref="V66:W66" si="23">SUM(V67:V70)</f>
        <v>-0.23468922985475155</v>
      </c>
      <c r="W66" s="48">
        <f t="shared" si="23"/>
        <v>-0.19660706213401979</v>
      </c>
    </row>
    <row r="67" spans="2:23" outlineLevel="1" x14ac:dyDescent="0.2">
      <c r="B67" s="79" t="s">
        <v>115</v>
      </c>
      <c r="C67" s="34"/>
      <c r="D67" s="34">
        <f>C56*D35/100*(1/(1+D32/100))</f>
        <v>1.4681210303537406</v>
      </c>
      <c r="E67" s="34">
        <f t="shared" ref="E67:F67" si="24">D56*E35/100*(1/(1+E32/100))</f>
        <v>1.4419332710000843</v>
      </c>
      <c r="F67" s="34">
        <f t="shared" si="24"/>
        <v>1.3831494751458222</v>
      </c>
      <c r="G67" s="34">
        <f>F56*G35/100*(1/(1+G32/100))</f>
        <v>1.2767786110391002</v>
      </c>
      <c r="H67" s="34">
        <f t="shared" ref="H67:W67" si="25">G56*H35/100*(1/(1+H32/100))</f>
        <v>1.2831379643233658</v>
      </c>
      <c r="I67" s="34">
        <f t="shared" si="25"/>
        <v>1.2649332113743252</v>
      </c>
      <c r="J67" s="34">
        <f t="shared" si="25"/>
        <v>1.2365500441397026</v>
      </c>
      <c r="K67" s="34">
        <f t="shared" si="25"/>
        <v>1.2531414431644499</v>
      </c>
      <c r="L67" s="34">
        <f t="shared" si="25"/>
        <v>1.1918685164754415</v>
      </c>
      <c r="M67" s="34">
        <f t="shared" si="25"/>
        <v>1.1245896112550662</v>
      </c>
      <c r="N67" s="34">
        <f t="shared" si="25"/>
        <v>1.0606110438929344</v>
      </c>
      <c r="O67" s="34">
        <f t="shared" si="25"/>
        <v>0.97703557137677788</v>
      </c>
      <c r="P67" s="34">
        <f t="shared" si="25"/>
        <v>0.89806622491297039</v>
      </c>
      <c r="Q67" s="34">
        <f t="shared" si="25"/>
        <v>0.82224693536129101</v>
      </c>
      <c r="R67" s="34">
        <f t="shared" si="25"/>
        <v>0.75232717209217292</v>
      </c>
      <c r="S67" s="34">
        <f t="shared" si="25"/>
        <v>0.68577081323003919</v>
      </c>
      <c r="T67" s="34">
        <f t="shared" si="25"/>
        <v>0.62225742103637693</v>
      </c>
      <c r="U67" s="34">
        <f t="shared" si="25"/>
        <v>0.56073037831938466</v>
      </c>
      <c r="V67" s="34">
        <f t="shared" si="25"/>
        <v>0.49318799112002804</v>
      </c>
      <c r="W67" s="34">
        <f t="shared" si="25"/>
        <v>0.43216005807357344</v>
      </c>
    </row>
    <row r="68" spans="2:23" outlineLevel="1" x14ac:dyDescent="0.2">
      <c r="B68" s="79" t="s">
        <v>116</v>
      </c>
      <c r="C68" s="34"/>
      <c r="D68" s="34">
        <f t="shared" ref="D68:W68" si="26">-C56*(D23/100)*(1/(1+D32/100))</f>
        <v>-4.5050520510522478</v>
      </c>
      <c r="E68" s="34">
        <f t="shared" si="26"/>
        <v>-1.9632130629281277</v>
      </c>
      <c r="F68" s="34">
        <f t="shared" si="26"/>
        <v>-2.0145737556775938</v>
      </c>
      <c r="G68" s="34">
        <f t="shared" si="26"/>
        <v>-2.0155355707128693</v>
      </c>
      <c r="H68" s="34">
        <f>-G56*(H23/100)*(1/(1+H32/100))</f>
        <v>-1.3754069303052536</v>
      </c>
      <c r="I68" s="34">
        <f t="shared" si="26"/>
        <v>-0.88925824116184615</v>
      </c>
      <c r="J68" s="34">
        <f t="shared" si="26"/>
        <v>-0.85023938407910604</v>
      </c>
      <c r="K68" s="34">
        <f t="shared" si="26"/>
        <v>-0.81309520003636093</v>
      </c>
      <c r="L68" s="34">
        <f t="shared" si="26"/>
        <v>-0.70519945165927156</v>
      </c>
      <c r="M68" s="34">
        <f t="shared" si="26"/>
        <v>-0.62360509126606023</v>
      </c>
      <c r="N68" s="34">
        <f t="shared" si="26"/>
        <v>-0.56064777054597681</v>
      </c>
      <c r="O68" s="34">
        <f t="shared" si="26"/>
        <v>-0.50279079704273844</v>
      </c>
      <c r="P68" s="34">
        <f t="shared" si="26"/>
        <v>-0.47905658917805177</v>
      </c>
      <c r="Q68" s="34">
        <f t="shared" si="26"/>
        <v>-0.45439044003858164</v>
      </c>
      <c r="R68" s="34">
        <f t="shared" si="26"/>
        <v>-0.43006817239627038</v>
      </c>
      <c r="S68" s="34">
        <f t="shared" si="26"/>
        <v>-0.41055407466051802</v>
      </c>
      <c r="T68" s="34">
        <f t="shared" si="26"/>
        <v>-0.38251519452496174</v>
      </c>
      <c r="U68" s="34">
        <f t="shared" si="26"/>
        <v>-0.35659013703376957</v>
      </c>
      <c r="V68" s="34">
        <f t="shared" si="26"/>
        <v>-0.32533183772714291</v>
      </c>
      <c r="W68" s="34">
        <f t="shared" si="26"/>
        <v>-0.28026017931710256</v>
      </c>
    </row>
    <row r="69" spans="2:23" outlineLevel="1" x14ac:dyDescent="0.2">
      <c r="B69" s="79" t="s">
        <v>117</v>
      </c>
      <c r="C69" s="34"/>
      <c r="D69" s="34">
        <f t="shared" ref="D69:T69" si="27">-C56*D41/100*(1/(1+D41/100))</f>
        <v>-5.6761618041690971</v>
      </c>
      <c r="E69" s="34">
        <f t="shared" si="27"/>
        <v>-3.8667753439880266</v>
      </c>
      <c r="F69" s="34">
        <f t="shared" si="27"/>
        <v>-2.7671158929224595</v>
      </c>
      <c r="G69" s="34">
        <f t="shared" si="27"/>
        <v>-1.6374699620313513</v>
      </c>
      <c r="H69" s="34">
        <f>-G56*H41/100*(1/(1+H41/100))</f>
        <v>-1.5325172737043031</v>
      </c>
      <c r="I69" s="34">
        <f t="shared" si="27"/>
        <v>-1.4168190764720583</v>
      </c>
      <c r="J69" s="34">
        <f t="shared" si="27"/>
        <v>-1.3186076502192625</v>
      </c>
      <c r="K69" s="34">
        <f t="shared" si="27"/>
        <v>-1.2240316631821635</v>
      </c>
      <c r="L69" s="34">
        <f t="shared" si="27"/>
        <v>-1.1284309071855256</v>
      </c>
      <c r="M69" s="34">
        <f t="shared" si="27"/>
        <v>-1.0404340628326039</v>
      </c>
      <c r="N69" s="34">
        <f t="shared" si="27"/>
        <v>-0.95931220105896042</v>
      </c>
      <c r="O69" s="34">
        <f t="shared" si="27"/>
        <v>-0.88355746314297934</v>
      </c>
      <c r="P69" s="34">
        <f t="shared" si="27"/>
        <v>-0.79834673075836038</v>
      </c>
      <c r="Q69" s="34">
        <f t="shared" si="27"/>
        <v>-0.71928842855544961</v>
      </c>
      <c r="R69" s="34">
        <f t="shared" si="27"/>
        <v>-0.64763732832401855</v>
      </c>
      <c r="S69" s="34">
        <f>-R56*S41/100*(1/(1+S41/100))</f>
        <v>-0.58154255817275746</v>
      </c>
      <c r="T69" s="34">
        <f t="shared" si="27"/>
        <v>-0.51993516733398515</v>
      </c>
      <c r="U69" s="34">
        <f t="shared" ref="U69" si="28">-T56*U41/100*(1/(1+U41/100))</f>
        <v>-0.46269582409767329</v>
      </c>
      <c r="V69" s="34">
        <f t="shared" ref="V69" si="29">-U56*V41/100*(1/(1+V41/100))</f>
        <v>-0.40254538324763667</v>
      </c>
      <c r="W69" s="34">
        <f t="shared" ref="W69" si="30">-V56*W41/100*(1/(1+W41/100))</f>
        <v>-0.34850694089049067</v>
      </c>
    </row>
    <row r="70" spans="2:23" outlineLevel="1" x14ac:dyDescent="0.2">
      <c r="B70" s="79" t="s">
        <v>118</v>
      </c>
      <c r="C70" s="49"/>
      <c r="D70" s="49">
        <f>'Baseline NFPC'!D70</f>
        <v>8.24867605331292E-7</v>
      </c>
      <c r="E70" s="49">
        <f>'Baseline NFPC'!E70</f>
        <v>1.1359160696500226E-6</v>
      </c>
      <c r="F70" s="49">
        <f>'Baseline NFPC'!F70</f>
        <v>1.1734542311181428E-6</v>
      </c>
      <c r="G70" s="49">
        <f>'Baseline NFPC'!G70</f>
        <v>1.9217051221431802E-6</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-0.74486079999999999</v>
      </c>
      <c r="E71" s="50">
        <f>'Input data'!E16</f>
        <v>0.60125799999999996</v>
      </c>
      <c r="F71" s="50">
        <f>'Input data'!F16</f>
        <v>0.99131349999999996</v>
      </c>
      <c r="G71" s="50">
        <f>'Input data'!G16</f>
        <v>1.300673</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1">D14</f>
        <v>-0.74485959999999996</v>
      </c>
      <c r="E72" s="34">
        <f t="shared" si="31"/>
        <v>0.60125580000000001</v>
      </c>
      <c r="F72" s="34">
        <f t="shared" si="31"/>
        <v>0.99131420000000003</v>
      </c>
      <c r="G72" s="34">
        <f t="shared" si="31"/>
        <v>1.300675</v>
      </c>
      <c r="H72" s="34">
        <f t="shared" si="31"/>
        <v>0</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9" t="s">
        <v>121</v>
      </c>
      <c r="C73" s="49"/>
      <c r="D73" s="49">
        <f>+D71-D72</f>
        <v>-1.2000000000345068E-6</v>
      </c>
      <c r="E73" s="49">
        <f t="shared" ref="E73:T73" si="32">+E71-E72</f>
        <v>2.1999999999522402E-6</v>
      </c>
      <c r="F73" s="49">
        <f t="shared" si="32"/>
        <v>-7.0000000007564012E-7</v>
      </c>
      <c r="G73" s="49">
        <f t="shared" si="32"/>
        <v>-2.0000000000575113E-6</v>
      </c>
      <c r="H73" s="49">
        <f t="shared" si="32"/>
        <v>0</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186</v>
      </c>
      <c r="C75" s="51"/>
      <c r="D75" s="51"/>
      <c r="E75" s="51"/>
      <c r="F75" s="51"/>
      <c r="G75" s="51"/>
      <c r="H75" s="51"/>
      <c r="I75" s="51"/>
      <c r="J75" s="51"/>
      <c r="K75" s="51">
        <f t="shared" ref="K75:W75" si="34">IF(K56&lt;J56,0,1)</f>
        <v>0</v>
      </c>
      <c r="L75" s="51">
        <f t="shared" si="34"/>
        <v>0</v>
      </c>
      <c r="M75" s="51">
        <f t="shared" si="34"/>
        <v>0</v>
      </c>
      <c r="N75" s="51">
        <f t="shared" si="34"/>
        <v>0</v>
      </c>
      <c r="O75" s="51">
        <f t="shared" si="34"/>
        <v>0</v>
      </c>
      <c r="P75" s="51">
        <f t="shared" si="34"/>
        <v>0</v>
      </c>
      <c r="Q75" s="51">
        <f t="shared" si="34"/>
        <v>0</v>
      </c>
      <c r="R75" s="51">
        <f t="shared" si="34"/>
        <v>0</v>
      </c>
      <c r="S75" s="51">
        <f t="shared" si="34"/>
        <v>0</v>
      </c>
      <c r="T75" s="51">
        <f t="shared" si="34"/>
        <v>0</v>
      </c>
      <c r="U75" s="51">
        <f t="shared" si="34"/>
        <v>0</v>
      </c>
      <c r="V75" s="51">
        <f t="shared" si="34"/>
        <v>0</v>
      </c>
      <c r="W75" s="51">
        <f t="shared" si="34"/>
        <v>0</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111">
        <f t="shared" ref="E79:F79" si="35">IF((E83-D83*E42/((1+E23/100)*(1+E41/100)))&gt;0,1,0)</f>
        <v>0</v>
      </c>
      <c r="F79" s="111">
        <f t="shared" si="35"/>
        <v>0</v>
      </c>
      <c r="G79" s="111">
        <f>IF((G83-F83*G42/((1+G23/100)*(1+G41/100)))&gt;0,1,0)</f>
        <v>0</v>
      </c>
      <c r="H79" s="111">
        <f t="shared" ref="H79:W79" si="36">IF((H83-G83*H42/((1+H23/100)*(1+H41/100)))&gt;0,1,0)</f>
        <v>0</v>
      </c>
      <c r="I79" s="111">
        <f t="shared" si="36"/>
        <v>0</v>
      </c>
      <c r="J79" s="111">
        <f t="shared" si="36"/>
        <v>0</v>
      </c>
      <c r="K79" s="111">
        <f t="shared" si="36"/>
        <v>0</v>
      </c>
      <c r="L79" s="111">
        <f t="shared" si="36"/>
        <v>0</v>
      </c>
      <c r="M79" s="111">
        <f t="shared" si="36"/>
        <v>0</v>
      </c>
      <c r="N79" s="111">
        <f t="shared" si="36"/>
        <v>0</v>
      </c>
      <c r="O79" s="111">
        <f t="shared" si="36"/>
        <v>0</v>
      </c>
      <c r="P79" s="111">
        <f t="shared" si="36"/>
        <v>0</v>
      </c>
      <c r="Q79" s="111">
        <f t="shared" si="36"/>
        <v>0</v>
      </c>
      <c r="R79" s="111">
        <f t="shared" si="36"/>
        <v>0</v>
      </c>
      <c r="S79" s="111">
        <f t="shared" si="36"/>
        <v>0</v>
      </c>
      <c r="T79" s="111">
        <f t="shared" si="36"/>
        <v>0</v>
      </c>
      <c r="U79" s="111">
        <f t="shared" si="36"/>
        <v>0</v>
      </c>
      <c r="V79" s="111">
        <f t="shared" si="36"/>
        <v>0</v>
      </c>
      <c r="W79" s="111">
        <f t="shared" si="36"/>
        <v>0</v>
      </c>
    </row>
    <row r="80" spans="2:23" x14ac:dyDescent="0.2">
      <c r="B80" s="26" t="s">
        <v>126</v>
      </c>
      <c r="E80" s="111">
        <f t="shared" ref="E80:F80" si="37">IF(AND(E79=0,ABS(E83-D83*E42/((1+E23/100)*(1+E41/100)))&lt;((D89*D83*E42/((1+E23/100)*(1+E41/100))+(E38*D83*D90*E42/((1+E23/100)*(1+E41/100)))))),1,0)</f>
        <v>1</v>
      </c>
      <c r="F80" s="111">
        <f t="shared" si="37"/>
        <v>1</v>
      </c>
      <c r="G80" s="111">
        <f>IF(AND(G79=0,ABS(G83-F83*G42/((1+G23/100)*(1+G41/100)))&lt;((F89*F83*G42/((1+G23/100)*(1+G41/100))+(G38*F83*F90*G42/((1+G23/100)*(1+G41/100)))))),1,0)</f>
        <v>1</v>
      </c>
      <c r="H80" s="111">
        <f t="shared" ref="H80:W80" si="38">IF(AND(H79=0,ABS(H83-G83*H42/((1+H23/100)*(1+H41/100)))&lt;((G89*G83*H42/((1+H23/100)*(1+H41/100))+(H38*G83*G90*H42/((1+H23/100)*(1+H41/100)))))),1,0)</f>
        <v>1</v>
      </c>
      <c r="I80" s="111">
        <f t="shared" si="38"/>
        <v>1</v>
      </c>
      <c r="J80" s="111">
        <f t="shared" si="38"/>
        <v>1</v>
      </c>
      <c r="K80" s="111">
        <f t="shared" si="38"/>
        <v>1</v>
      </c>
      <c r="L80" s="111">
        <f t="shared" si="38"/>
        <v>1</v>
      </c>
      <c r="M80" s="111">
        <f t="shared" si="38"/>
        <v>1</v>
      </c>
      <c r="N80" s="111">
        <f t="shared" si="38"/>
        <v>1</v>
      </c>
      <c r="O80" s="111">
        <f t="shared" si="38"/>
        <v>1</v>
      </c>
      <c r="P80" s="111">
        <f t="shared" si="38"/>
        <v>1</v>
      </c>
      <c r="Q80" s="111">
        <f t="shared" si="38"/>
        <v>1</v>
      </c>
      <c r="R80" s="111">
        <f t="shared" si="38"/>
        <v>1</v>
      </c>
      <c r="S80" s="111">
        <f t="shared" si="38"/>
        <v>1</v>
      </c>
      <c r="T80" s="111">
        <f t="shared" si="38"/>
        <v>1</v>
      </c>
      <c r="U80" s="111">
        <f t="shared" si="38"/>
        <v>0</v>
      </c>
      <c r="V80" s="111">
        <f t="shared" si="38"/>
        <v>0</v>
      </c>
      <c r="W80" s="111">
        <f t="shared" si="38"/>
        <v>0</v>
      </c>
    </row>
    <row r="82" spans="2:23"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3" x14ac:dyDescent="0.2">
      <c r="B83" s="106" t="s">
        <v>104</v>
      </c>
      <c r="C83" s="110">
        <f>C56</f>
        <v>99.250230000000002</v>
      </c>
      <c r="D83" s="110">
        <f>D56</f>
        <v>85.595287844886869</v>
      </c>
      <c r="E83" s="110">
        <f>E56</f>
        <v>77.284440321959977</v>
      </c>
      <c r="F83" s="110">
        <f>F56</f>
        <v>70.579945075187567</v>
      </c>
      <c r="G83" s="110">
        <f>G56</f>
        <v>65.467738950078513</v>
      </c>
      <c r="H83" s="110">
        <f>G83*(1+H97/100)*H42-H59-H60+H61+H62+H63+H64+H65+H71</f>
        <v>59.991048043186375</v>
      </c>
      <c r="I83" s="110">
        <f t="shared" ref="I83:T83" si="39">H83*(1+I97/100)*I42-I59-I60+I61+I62+I63+I64+I65+I71</f>
        <v>55.344336413083951</v>
      </c>
      <c r="J83" s="110">
        <f t="shared" si="39"/>
        <v>50.929639670376446</v>
      </c>
      <c r="K83" s="110">
        <f t="shared" si="39"/>
        <v>46.548692197773534</v>
      </c>
      <c r="L83" s="110">
        <f t="shared" si="39"/>
        <v>42.553495010505728</v>
      </c>
      <c r="M83" s="110">
        <f t="shared" si="39"/>
        <v>38.904677722763672</v>
      </c>
      <c r="N83" s="110">
        <f t="shared" si="39"/>
        <v>35.532869743259802</v>
      </c>
      <c r="O83" s="110">
        <f t="shared" si="39"/>
        <v>32.447374709286002</v>
      </c>
      <c r="P83" s="110">
        <f t="shared" si="39"/>
        <v>29.548483961839974</v>
      </c>
      <c r="Q83" s="110">
        <f t="shared" si="39"/>
        <v>26.894337564353101</v>
      </c>
      <c r="R83" s="110">
        <f t="shared" si="39"/>
        <v>24.415253958695565</v>
      </c>
      <c r="S83" s="110">
        <f t="shared" si="39"/>
        <v>22.071651948017276</v>
      </c>
      <c r="T83" s="110">
        <f t="shared" si="39"/>
        <v>19.862940021065075</v>
      </c>
      <c r="U83" s="110">
        <f>T83*(1+U97/100)*U42-U59-U60+U61+U62+U63+U64+U65+U71</f>
        <v>17.477641173179169</v>
      </c>
      <c r="V83" s="110">
        <f t="shared" ref="V83:W83" si="40">U83*(1+V97/100)*V42-V59-V60+V61+V62+V63+V64+V65+V71</f>
        <v>15.305886378250582</v>
      </c>
      <c r="W83" s="110">
        <f t="shared" si="40"/>
        <v>13.191661945599058</v>
      </c>
    </row>
    <row r="84" spans="2:23" x14ac:dyDescent="0.2">
      <c r="B84" s="26" t="s">
        <v>127</v>
      </c>
      <c r="C84" s="34"/>
      <c r="D84" s="254">
        <f>'Input data'!C66*$D$83</f>
        <v>80.579287385165813</v>
      </c>
      <c r="E84" s="34">
        <f t="shared" ref="E84" si="41">IF(E83=0,0,IF(E79=1,D83*E42/((1+E23/100)*(1+E41/100))-E85-E86,IF(AND(E79=0,E80=1),(1-D89-E38*D90)*D83*E42/((1+E23/100)*(1+E41/100)),E83)))</f>
        <v>74.184299752358967</v>
      </c>
      <c r="F84" s="34">
        <f t="shared" ref="F84" si="42">IF(F83=0,0,IF(F79=1,E83*F42/((1+F23/100)*(1+F41/100))-F85-F86,IF(AND(F79=0,F80=1),(1-E89-F38*E90)*E83*F42/((1+F23/100)*(1+F41/100)),F83)))</f>
        <v>65.060117711874639</v>
      </c>
      <c r="G84" s="34">
        <f t="shared" ref="G84" si="43">IF(G83=0,0,IF(G79=1,F83*G42/((1+G23/100)*(1+G41/100))-G85-G86,IF(AND(G79=0,G80=1),(1-F89-G38*F90)*F83*G42/((1+G23/100)*(1+G41/100)),G83)))</f>
        <v>58.819172918048189</v>
      </c>
      <c r="H84" s="34">
        <f t="shared" ref="H84:W84" si="44">IF(H83=0,0,IF(H79=1,G83*H42/((1+H23/100)*(1+H41/100))-H85-H86,IF(AND(H79=0,H80=1),(1-G89-H38*G90)*G83*H42/((1+H23/100)*(1+H41/100)),H83)))</f>
        <v>53.699099566552945</v>
      </c>
      <c r="I84" s="34">
        <f t="shared" si="44"/>
        <v>49.655082806150212</v>
      </c>
      <c r="J84" s="34">
        <f t="shared" si="44"/>
        <v>45.512505366619386</v>
      </c>
      <c r="K84" s="34">
        <f t="shared" si="44"/>
        <v>42.029998026493971</v>
      </c>
      <c r="L84" s="34">
        <f t="shared" si="44"/>
        <v>39.075465885670688</v>
      </c>
      <c r="M84" s="34">
        <f t="shared" si="44"/>
        <v>35.609163788712813</v>
      </c>
      <c r="N84" s="34">
        <f t="shared" si="44"/>
        <v>34.673020688121774</v>
      </c>
      <c r="O84" s="34">
        <f t="shared" si="44"/>
        <v>31.79614847425443</v>
      </c>
      <c r="P84" s="34">
        <f t="shared" si="44"/>
        <v>29.047500749367853</v>
      </c>
      <c r="Q84" s="34">
        <f t="shared" si="44"/>
        <v>26.442715787671744</v>
      </c>
      <c r="R84" s="34">
        <f t="shared" si="44"/>
        <v>24.069645888666415</v>
      </c>
      <c r="S84" s="34">
        <f t="shared" si="44"/>
        <v>21.801780991445639</v>
      </c>
      <c r="T84" s="34">
        <f t="shared" si="44"/>
        <v>19.758700016205513</v>
      </c>
      <c r="U84" s="34">
        <f t="shared" si="44"/>
        <v>17.477641173179169</v>
      </c>
      <c r="V84" s="34">
        <f t="shared" si="44"/>
        <v>15.305886378250582</v>
      </c>
      <c r="W84" s="34">
        <f t="shared" si="44"/>
        <v>13.191661945599058</v>
      </c>
    </row>
    <row r="85" spans="2:23" x14ac:dyDescent="0.2">
      <c r="B85" s="105" t="s">
        <v>128</v>
      </c>
      <c r="C85" s="34"/>
      <c r="D85" s="254">
        <f>'Input data'!C67*$D$83</f>
        <v>4.0611173722051426</v>
      </c>
      <c r="E85" s="34">
        <f t="shared" ref="E85" si="45">IF(E83=0,0,IF(E79=1,E38*D83*D90*E42/((1+E23/100)*(1+E41/100)),IF(AND(E79=0,E80=1),(E38*D83*D90*E42/((1+E23/100)*(1+E41/100)))*(1-ABS(E83-D83*E42/((1+E23/100)*(1+E41/100)))/((E38*D83*D90*E42/((1+E23/100)*(1+E41/100)))+(D89*D83*E42/((1+E23/100)*(1+E41/100))))),0)))</f>
        <v>2.6058483973222213</v>
      </c>
      <c r="F85" s="34">
        <f t="shared" ref="F85" si="46">IF(F83=0,0,IF(F79=1,F38*E83*E90*F42/((1+F23/100)*(1+F41/100)),IF(AND(F79=0,F80=1),(F38*E83*E90*F42/((1+F23/100)*(1+F41/100)))*(1-ABS(F83-E83*F42/((1+F23/100)*(1+F41/100)))/((F38*E83*E90*F42/((1+F23/100)*(1+F41/100)))+(E89*E83*F42/((1+F23/100)*(1+F41/100))))),0)))</f>
        <v>5.1759171739107712</v>
      </c>
      <c r="G85" s="34">
        <f t="shared" ref="G85" si="47">IF(G83=0,0,IF(G79=1,G38*F83*F90*G42/((1+G23/100)*(1+G41/100)),IF(AND(G79=0,G80=1),(G38*F83*F90*G42/((1+G23/100)*(1+G41/100)))*(1-ABS(G83-F83*G42/((1+G23/100)*(1+G41/100)))/((G38*F83*F90*G42/((1+G23/100)*(1+G41/100)))+(F89*F83*G42/((1+G23/100)*(1+G41/100))))),0)))</f>
        <v>6.3811475370972586</v>
      </c>
      <c r="H85" s="34">
        <f t="shared" ref="H85:W85" si="48">IF(H83=0,0,IF(H79=1,H38*G83*G90*H42/((1+H23/100)*(1+H41/100)),IF(AND(H79=0,H80=1),(H38*G83*G90*H42/((1+H23/100)*(1+H41/100)))*(1-ABS(H83-G83*H42/((1+H23/100)*(1+H41/100)))/((H38*G83*G90*H42/((1+H23/100)*(1+H41/100)))+(G89*G83*H42/((1+H23/100)*(1+H41/100))))),0)))</f>
        <v>6.1104905546643487</v>
      </c>
      <c r="I85" s="34">
        <f t="shared" si="48"/>
        <v>5.5656309792495504</v>
      </c>
      <c r="J85" s="34">
        <f t="shared" si="48"/>
        <v>5.3331674336658734</v>
      </c>
      <c r="K85" s="34">
        <f t="shared" si="48"/>
        <v>4.4656168036774799</v>
      </c>
      <c r="L85" s="34">
        <f t="shared" si="48"/>
        <v>3.446584895741545</v>
      </c>
      <c r="M85" s="34">
        <f t="shared" si="48"/>
        <v>3.2766565148960827</v>
      </c>
      <c r="N85" s="34">
        <f t="shared" si="48"/>
        <v>0.85410318791234763</v>
      </c>
      <c r="O85" s="34">
        <f t="shared" si="48"/>
        <v>0.64969632156355572</v>
      </c>
      <c r="P85" s="34">
        <f t="shared" si="48"/>
        <v>0.50063631176175205</v>
      </c>
      <c r="Q85" s="34">
        <f t="shared" si="48"/>
        <v>0.45154391019985307</v>
      </c>
      <c r="R85" s="34">
        <f t="shared" si="48"/>
        <v>0.34559328290594671</v>
      </c>
      <c r="S85" s="34">
        <f t="shared" si="48"/>
        <v>0.26986859533126911</v>
      </c>
      <c r="T85" s="34">
        <f t="shared" si="48"/>
        <v>0.10423983749223148</v>
      </c>
      <c r="U85" s="34">
        <f t="shared" si="48"/>
        <v>0</v>
      </c>
      <c r="V85" s="34">
        <f t="shared" si="48"/>
        <v>0</v>
      </c>
      <c r="W85" s="34">
        <f t="shared" si="48"/>
        <v>0</v>
      </c>
    </row>
    <row r="86" spans="2:23" x14ac:dyDescent="0.2">
      <c r="B86" s="105" t="s">
        <v>129</v>
      </c>
      <c r="C86" s="34"/>
      <c r="D86" s="254">
        <f>'Input data'!C68*$D$83</f>
        <v>0.95488418751601412</v>
      </c>
      <c r="E86" s="34">
        <f t="shared" ref="E86" si="49">IF(E83=0,0,IF(E79=1,(1-D90)*D83*E42/((1+E23/100)*(1+E41/100)),IF(AND(E79=0,E80=1),(D89*D83*E42/((1+E23/100)*(1+E41/100)))*(1-ABS(E83-D83*E42/((1+E23/100)*(1+E41/100)))/((E38*D83*D90*E42/((1+E23/100)*(1+E41/100)))+(D89*D83*E42/((1+E23/100)*(1+E41/100))))),0)))</f>
        <v>0.49429217227879385</v>
      </c>
      <c r="F86" s="34">
        <f t="shared" ref="F86" si="50">IF(F83=0,0,IF(F79=1,(1-E90)*E83*F42/((1+F23/100)*(1+F41/100)),IF(AND(F79=0,F80=1),(E89*E83*F42/((1+F23/100)*(1+F41/100)))*(1-ABS(F83-E83*F42/((1+F23/100)*(1+F41/100)))/((F38*E83*E90*F42/((1+F23/100)*(1+F41/100)))+(E89*E83*F42/((1+F23/100)*(1+F41/100))))),0)))</f>
        <v>0.34391018940216095</v>
      </c>
      <c r="G86" s="34">
        <f t="shared" ref="G86" si="51">IF(G83=0,0,IF(G79=1,(1-F90)*F83*G42/((1+G23/100)*(1+G41/100)),IF(AND(G79=0,G80=1),(F89*F83*G42/((1+G23/100)*(1+G41/100)))*(1-ABS(G83-F83*G42/((1+G23/100)*(1+G41/100)))/((G38*F83*F90*G42/((1+G23/100)*(1+G41/100)))+(F89*F83*G42/((1+G23/100)*(1+G41/100))))),0)))</f>
        <v>0.26741849493307074</v>
      </c>
      <c r="H86" s="34">
        <f t="shared" ref="H86:W86" si="52">IF(H83=0,0,IF(H79=1,(1-G90)*G83*H42/((1+H23/100)*(1+H41/100)),IF(AND(H79=0,H80=1),(G89*G83*H42/((1+H23/100)*(1+H41/100)))*(1-ABS(H83-G83*H42/((1+H23/100)*(1+H41/100)))/((H38*G83*G90*H42/((1+H23/100)*(1+H41/100)))+(G89*G83*H42/((1+H23/100)*(1+H41/100))))),0)))</f>
        <v>0.18145792196909175</v>
      </c>
      <c r="I86" s="34">
        <f t="shared" si="52"/>
        <v>0.12362262768419337</v>
      </c>
      <c r="J86" s="34">
        <f t="shared" si="52"/>
        <v>8.3966870091188764E-2</v>
      </c>
      <c r="K86" s="34">
        <f t="shared" si="52"/>
        <v>5.3077367602073725E-2</v>
      </c>
      <c r="L86" s="34">
        <f t="shared" si="52"/>
        <v>3.1444229093490907E-2</v>
      </c>
      <c r="M86" s="34">
        <f t="shared" si="52"/>
        <v>1.8857419154773784E-2</v>
      </c>
      <c r="N86" s="34">
        <f t="shared" si="52"/>
        <v>5.7458672256740844E-3</v>
      </c>
      <c r="O86" s="34">
        <f t="shared" si="52"/>
        <v>1.5299134680150915E-3</v>
      </c>
      <c r="P86" s="34">
        <f t="shared" si="52"/>
        <v>3.4690071036790114E-4</v>
      </c>
      <c r="Q86" s="34">
        <f t="shared" si="52"/>
        <v>7.7866481504664512E-5</v>
      </c>
      <c r="R86" s="34">
        <f t="shared" si="52"/>
        <v>1.478712320206196E-5</v>
      </c>
      <c r="S86" s="34">
        <f t="shared" si="52"/>
        <v>2.3612403681513875E-6</v>
      </c>
      <c r="T86" s="34">
        <f t="shared" si="52"/>
        <v>1.673673300145818E-7</v>
      </c>
      <c r="U86" s="34">
        <f t="shared" si="52"/>
        <v>0</v>
      </c>
      <c r="V86" s="34">
        <f t="shared" si="52"/>
        <v>0</v>
      </c>
      <c r="W86" s="34">
        <f t="shared" si="52"/>
        <v>0</v>
      </c>
    </row>
    <row r="87" spans="2:23" x14ac:dyDescent="0.2">
      <c r="B87" s="105" t="s">
        <v>130</v>
      </c>
      <c r="C87" s="34"/>
      <c r="D87" s="254">
        <f>'Input data'!C69*$D$83</f>
        <v>0</v>
      </c>
      <c r="E87" s="34">
        <f>IF(E83=0,0,IF(E79=1,'Input data'!$C$58*(E83-D83*E42/((1+E23/100)*(1+E41/100))),0))</f>
        <v>0</v>
      </c>
      <c r="F87" s="34">
        <f>IF(F83=0,0,IF(F79=1,'Input data'!$C$58*(F83-E83*F42/((1+F23/100)*(1+F41/100))),0))</f>
        <v>0</v>
      </c>
      <c r="G87" s="34">
        <f>IF(G83=0,0,IF(G79=1,'Input data'!$C$58*(G83-F83*G42/((1+G23/100)*(1+G41/100))),0))</f>
        <v>0</v>
      </c>
      <c r="H87" s="34">
        <f>IF(H83=0,0,IF(H79=1,'Input data'!$C$58*(H83-G83*H42/((1+H23/100)*(1+H41/100))),0))</f>
        <v>0</v>
      </c>
      <c r="I87" s="34">
        <f>IF(I83=0,0,IF(I79=1,'Input data'!$C$58*(I83-H83*I42/((1+I23/100)*(1+I41/100))),0))</f>
        <v>0</v>
      </c>
      <c r="J87" s="34">
        <f>IF(J83=0,0,IF(J79=1,'Input data'!$C$58*(J83-I83*J42/((1+J23/100)*(1+J41/100))),0))</f>
        <v>0</v>
      </c>
      <c r="K87" s="34">
        <f>IF(K83=0,0,IF(K79=1,'Input data'!$C$58*(K83-J83*K42/((1+K23/100)*(1+K41/100))),0))</f>
        <v>0</v>
      </c>
      <c r="L87" s="34">
        <f>IF(L83=0,0,IF(L79=1,'Input data'!$C$58*(L83-K83*L42/((1+L23/100)*(1+L41/100))),0))</f>
        <v>0</v>
      </c>
      <c r="M87" s="34">
        <f>IF(M83=0,0,IF(M79=1,'Input data'!$C$58*(M83-L83*M42/((1+M23/100)*(1+M41/100))),0))</f>
        <v>0</v>
      </c>
      <c r="N87" s="34">
        <f>IF(N83=0,0,IF(N79=1,'Input data'!$C$58*(N83-M83*N42/((1+N23/100)*(1+N41/100))),0))</f>
        <v>0</v>
      </c>
      <c r="O87" s="34">
        <f>IF(O83=0,0,IF(O79=1,'Input data'!$C$58*(O83-N83*O42/((1+O23/100)*(1+O41/100))),0))</f>
        <v>0</v>
      </c>
      <c r="P87" s="34">
        <f>IF(P83=0,0,IF(P79=1,'Input data'!$C$58*(P83-O83*P42/((1+P23/100)*(1+P41/100))),0))</f>
        <v>0</v>
      </c>
      <c r="Q87" s="34">
        <f>IF(Q83=0,0,IF(Q79=1,'Input data'!$C$58*(Q83-P83*Q42/((1+Q23/100)*(1+Q41/100))),0))</f>
        <v>0</v>
      </c>
      <c r="R87" s="34">
        <f>IF(R83=0,0,IF(R79=1,'Input data'!$C$58*(R83-Q83*R42/((1+R23/100)*(1+R41/100))),0))</f>
        <v>0</v>
      </c>
      <c r="S87" s="34">
        <f>IF(S83=0,0,IF(S79=1,'Input data'!$C$58*(S83-R83*S42/((1+S23/100)*(1+S41/100))),0))</f>
        <v>0</v>
      </c>
      <c r="T87" s="34">
        <f>IF(T83=0,0,IF(T79=1,'Input data'!$C$58*(T83-S83*T42/((1+T23/100)*(1+T41/100))),0))</f>
        <v>0</v>
      </c>
      <c r="U87" s="34">
        <f>IF(U83=0,0,IF(U79=1,'Input data'!$C$58*(U83-T83*U42/((1+U23/100)*(1+U41/100))),0))</f>
        <v>0</v>
      </c>
      <c r="V87" s="34">
        <f>IF(V83=0,0,IF(V79=1,'Input data'!$C$58*(V83-U83*V42/((1+V23/100)*(1+V41/100))),0))</f>
        <v>0</v>
      </c>
      <c r="W87" s="34">
        <f>IF(W83=0,0,IF(W79=1,'Input data'!$C$58*(W83-V83*W42/((1+W23/100)*(1+W41/100))),0))</f>
        <v>0</v>
      </c>
    </row>
    <row r="88" spans="2:23" x14ac:dyDescent="0.2">
      <c r="B88" s="107" t="s">
        <v>131</v>
      </c>
      <c r="C88" s="49"/>
      <c r="D88" s="255">
        <f>'Input data'!C70*$D$83</f>
        <v>0</v>
      </c>
      <c r="E88" s="49">
        <f>IF(E83=0,0,IF(E79=1,'Input data'!$C$57*(E83-D83*E42/((1+E23/100)*(1+E41/100))),0))</f>
        <v>0</v>
      </c>
      <c r="F88" s="49">
        <f>IF(F83=0,0,IF(F79=1,'Input data'!$C$57*(F83-E83*F42/((1+F23/100)*(1+F41/100))),0))</f>
        <v>0</v>
      </c>
      <c r="G88" s="49">
        <f>IF(G83=0,0,IF(G79=1,'Input data'!$C$57*(G83-F83*G42/((1+G23/100)*(1+G41/100))),0))</f>
        <v>0</v>
      </c>
      <c r="H88" s="49">
        <f>IF(H83=0,0,IF(H79=1,'Input data'!$C$57*(H83-G83*H42/((1+H23/100)*(1+H41/100))),0))</f>
        <v>0</v>
      </c>
      <c r="I88" s="49">
        <f>IF(I83=0,0,IF(I79=1,'Input data'!$C$57*(I83-H83*I42/((1+I23/100)*(1+I41/100))),0))</f>
        <v>0</v>
      </c>
      <c r="J88" s="49">
        <f>IF(J83=0,0,IF(J79=1,'Input data'!$C$57*(J83-I83*J42/((1+J23/100)*(1+J41/100))),0))</f>
        <v>0</v>
      </c>
      <c r="K88" s="49">
        <f>IF(K83=0,0,IF(K79=1,'Input data'!$C$57*(K83-J83*K42/((1+K23/100)*(1+K41/100))),0))</f>
        <v>0</v>
      </c>
      <c r="L88" s="49">
        <f>IF(L83=0,0,IF(L79=1,'Input data'!$C$57*(L83-K83*L42/((1+L23/100)*(1+L41/100))),0))</f>
        <v>0</v>
      </c>
      <c r="M88" s="49">
        <f>IF(M83=0,0,IF(M79=1,'Input data'!$C$57*(M83-L83*M42/((1+M23/100)*(1+M41/100))),0))</f>
        <v>0</v>
      </c>
      <c r="N88" s="49">
        <f>IF(N83=0,0,IF(N79=1,'Input data'!$C$57*(N83-M83*N42/((1+N23/100)*(1+N41/100))),0))</f>
        <v>0</v>
      </c>
      <c r="O88" s="49">
        <f>IF(O83=0,0,IF(O79=1,'Input data'!$C$57*(O83-N83*O42/((1+O23/100)*(1+O41/100))),0))</f>
        <v>0</v>
      </c>
      <c r="P88" s="49">
        <f>IF(P83=0,0,IF(P79=1,'Input data'!$C$57*(P83-O83*P42/((1+P23/100)*(1+P41/100))),0))</f>
        <v>0</v>
      </c>
      <c r="Q88" s="49">
        <f>IF(Q83=0,0,IF(Q79=1,'Input data'!$C$57*(Q83-P83*Q42/((1+Q23/100)*(1+Q41/100))),0))</f>
        <v>0</v>
      </c>
      <c r="R88" s="49">
        <f>IF(R83=0,0,IF(R79=1,'Input data'!$C$57*(R83-Q83*R42/((1+R23/100)*(1+R41/100))),0))</f>
        <v>0</v>
      </c>
      <c r="S88" s="49">
        <f>IF(S83=0,0,IF(S79=1,'Input data'!$C$57*(S83-R83*S42/((1+S23/100)*(1+S41/100))),0))</f>
        <v>0</v>
      </c>
      <c r="T88" s="49">
        <f>IF(T83=0,0,IF(T79=1,'Input data'!$C$57*(T83-S83*T42/((1+T23/100)*(1+T41/100))),0))</f>
        <v>0</v>
      </c>
      <c r="U88" s="49">
        <f>IF(U83=0,0,IF(U79=1,'Input data'!$C$57*(U83-T83*U42/((1+U23/100)*(1+U41/100))),0))</f>
        <v>0</v>
      </c>
      <c r="V88" s="49">
        <f>IF(V83=0,0,IF(V79=1,'Input data'!$C$57*(V83-U83*V42/((1+V23/100)*(1+V41/100))),0))</f>
        <v>0</v>
      </c>
      <c r="W88" s="49">
        <f>IF(W83=0,0,IF(W79=1,'Input data'!$C$57*(W83-V83*W42/((1+W23/100)*(1+W41/100))),0))</f>
        <v>0</v>
      </c>
    </row>
    <row r="89" spans="2:23" x14ac:dyDescent="0.2">
      <c r="B89" s="26" t="s">
        <v>73</v>
      </c>
      <c r="C89" s="36"/>
      <c r="D89" s="260">
        <f>'Baseline NFPC'!$D$93</f>
        <v>1.1155790366010776E-2</v>
      </c>
      <c r="E89" s="36">
        <f t="shared" ref="E89:G89" si="53">IF(E83&lt;&gt;0,(E86+E88)/(E84+E85+E86+E87+E88),0)</f>
        <v>6.3957527572124145E-3</v>
      </c>
      <c r="F89" s="36">
        <f t="shared" si="53"/>
        <v>4.8726332818168029E-3</v>
      </c>
      <c r="G89" s="36">
        <f t="shared" si="53"/>
        <v>4.0847369898781277E-3</v>
      </c>
      <c r="H89" s="36">
        <f t="shared" ref="H89" si="54">IF(H83&lt;&gt;0,(H86+H88)/(H84+H85+H86+H87+H88),0)</f>
        <v>3.0247499900062373E-3</v>
      </c>
      <c r="I89" s="36">
        <f t="shared" ref="I89:W89" si="55">IF(I83&lt;&gt;0,(I86+I88)/(I84+I85+I86+I87+I88),0)</f>
        <v>2.233699700751453E-3</v>
      </c>
      <c r="J89" s="36">
        <f t="shared" si="55"/>
        <v>1.6486837651833739E-3</v>
      </c>
      <c r="K89" s="36">
        <f t="shared" si="55"/>
        <v>1.1402547546676828E-3</v>
      </c>
      <c r="L89" s="36">
        <f t="shared" si="55"/>
        <v>7.3893411306704348E-4</v>
      </c>
      <c r="M89" s="36">
        <f t="shared" si="55"/>
        <v>4.847082731067078E-4</v>
      </c>
      <c r="N89" s="36">
        <f t="shared" si="55"/>
        <v>1.6170569017336442E-4</v>
      </c>
      <c r="O89" s="36">
        <f t="shared" si="55"/>
        <v>4.7150608692457672E-5</v>
      </c>
      <c r="P89" s="36">
        <f t="shared" si="55"/>
        <v>1.1740051056964608E-5</v>
      </c>
      <c r="Q89" s="36">
        <f t="shared" si="55"/>
        <v>2.8952741936232726E-6</v>
      </c>
      <c r="R89" s="36">
        <f t="shared" si="55"/>
        <v>6.0565100928616323E-7</v>
      </c>
      <c r="S89" s="36">
        <f t="shared" si="55"/>
        <v>1.069806815417593E-7</v>
      </c>
      <c r="T89" s="36">
        <f t="shared" si="55"/>
        <v>8.4261106279878605E-9</v>
      </c>
      <c r="U89" s="36">
        <f t="shared" si="55"/>
        <v>0</v>
      </c>
      <c r="V89" s="36">
        <f t="shared" si="55"/>
        <v>0</v>
      </c>
      <c r="W89" s="36">
        <f t="shared" si="55"/>
        <v>0</v>
      </c>
    </row>
    <row r="90" spans="2:23" x14ac:dyDescent="0.2">
      <c r="B90" s="35" t="s">
        <v>74</v>
      </c>
      <c r="C90" s="108"/>
      <c r="D90" s="261">
        <f>'Baseline NFPC'!$D$94</f>
        <v>0.98884420963398922</v>
      </c>
      <c r="E90" s="108">
        <f t="shared" ref="E90:G90" si="56">IF(E83&lt;&gt;0,(E84+E85+E87)/(E84+E85+E86+E87+E88),1)</f>
        <v>0.99360424724278762</v>
      </c>
      <c r="F90" s="108">
        <f t="shared" si="56"/>
        <v>0.99512736671818314</v>
      </c>
      <c r="G90" s="108">
        <f t="shared" si="56"/>
        <v>0.9959152630101219</v>
      </c>
      <c r="H90" s="108">
        <f t="shared" ref="H90" si="57">IF(H83&lt;&gt;0,(H84+H85+H87)/(H84+H85+H86+H87+H88),1)</f>
        <v>0.99697525000999376</v>
      </c>
      <c r="I90" s="108">
        <f t="shared" ref="I90:W90" si="58">IF(I83&lt;&gt;0,(I84+I85+I87)/(I84+I85+I86+I87+I88),1)</f>
        <v>0.99776630029924862</v>
      </c>
      <c r="J90" s="108">
        <f t="shared" si="58"/>
        <v>0.99835131623481665</v>
      </c>
      <c r="K90" s="108">
        <f t="shared" si="58"/>
        <v>0.99885974524533239</v>
      </c>
      <c r="L90" s="108">
        <f t="shared" si="58"/>
        <v>0.99926106588693298</v>
      </c>
      <c r="M90" s="108">
        <f t="shared" si="58"/>
        <v>0.99951529172689324</v>
      </c>
      <c r="N90" s="108">
        <f t="shared" si="58"/>
        <v>0.99983829430982651</v>
      </c>
      <c r="O90" s="108">
        <f t="shared" si="58"/>
        <v>0.99995284939130769</v>
      </c>
      <c r="P90" s="108">
        <f t="shared" si="58"/>
        <v>0.99998825994894303</v>
      </c>
      <c r="Q90" s="108">
        <f t="shared" si="58"/>
        <v>0.99999710472580638</v>
      </c>
      <c r="R90" s="108">
        <f t="shared" si="58"/>
        <v>0.99999939434899066</v>
      </c>
      <c r="S90" s="108">
        <f t="shared" si="58"/>
        <v>0.99999989301931835</v>
      </c>
      <c r="T90" s="108">
        <f t="shared" si="58"/>
        <v>0.99999999157388941</v>
      </c>
      <c r="U90" s="108">
        <f t="shared" si="58"/>
        <v>1</v>
      </c>
      <c r="V90" s="108">
        <f t="shared" si="58"/>
        <v>1</v>
      </c>
      <c r="W90" s="108">
        <f t="shared" si="58"/>
        <v>1</v>
      </c>
    </row>
    <row r="92" spans="2:23" x14ac:dyDescent="0.2">
      <c r="B92" s="113" t="s">
        <v>132</v>
      </c>
      <c r="C92" s="113"/>
      <c r="D92" s="113"/>
      <c r="E92" s="115">
        <f t="shared" ref="E92:G92" si="59">E94+E95</f>
        <v>1.80772</v>
      </c>
      <c r="F92" s="115">
        <f t="shared" si="59"/>
        <v>1.9077200000000001</v>
      </c>
      <c r="G92" s="115">
        <f t="shared" si="59"/>
        <v>1.9077200000000001</v>
      </c>
      <c r="H92" s="115">
        <f t="shared" ref="H92:W92" si="60">H94+H95</f>
        <v>2.0510578068871177</v>
      </c>
      <c r="I92" s="115">
        <f t="shared" si="60"/>
        <v>2.1928297708470597</v>
      </c>
      <c r="J92" s="115">
        <f>J94+J95</f>
        <v>2.3254135666366342</v>
      </c>
      <c r="K92" s="115">
        <f t="shared" si="60"/>
        <v>2.563053873109562</v>
      </c>
      <c r="L92" s="115">
        <f t="shared" si="60"/>
        <v>2.6654743781161585</v>
      </c>
      <c r="M92" s="115">
        <f t="shared" si="60"/>
        <v>2.7503168914849998</v>
      </c>
      <c r="N92" s="115">
        <f t="shared" si="60"/>
        <v>2.8370176577301032</v>
      </c>
      <c r="O92" s="115">
        <f t="shared" si="60"/>
        <v>2.8613033742282625</v>
      </c>
      <c r="P92" s="115">
        <f t="shared" si="60"/>
        <v>2.8811904050057238</v>
      </c>
      <c r="Q92" s="115">
        <f t="shared" si="60"/>
        <v>2.8978064612574546</v>
      </c>
      <c r="R92" s="115">
        <f t="shared" si="60"/>
        <v>2.9141181941851926</v>
      </c>
      <c r="S92" s="115">
        <f t="shared" si="60"/>
        <v>2.9277471166231535</v>
      </c>
      <c r="T92" s="115">
        <f t="shared" si="60"/>
        <v>2.9394468114623864</v>
      </c>
      <c r="U92" s="115">
        <f t="shared" si="60"/>
        <v>2.9444474078066603</v>
      </c>
      <c r="V92" s="115">
        <f t="shared" si="60"/>
        <v>2.944447411481999</v>
      </c>
      <c r="W92" s="115">
        <f t="shared" si="60"/>
        <v>2.944447411481999</v>
      </c>
    </row>
    <row r="93" spans="2:23" x14ac:dyDescent="0.2">
      <c r="B93" s="33" t="s">
        <v>133</v>
      </c>
      <c r="C93" s="97"/>
      <c r="D93" s="97"/>
      <c r="E93" s="266">
        <f>((E35*D83)-(E37*(D86+D88)))/(D84+D85+D87)</f>
        <v>1.789417966678488</v>
      </c>
      <c r="F93" s="266">
        <f t="shared" ref="F93:G93" si="61">((F35*E83)-(F37*(E86+E88)))/(E84+E85+E87)</f>
        <v>1.8970573164187969</v>
      </c>
      <c r="G93" s="266">
        <f t="shared" si="61"/>
        <v>1.903270777978008</v>
      </c>
      <c r="H93" s="34">
        <f t="shared" ref="H93:W93" si="62">IF(G83&gt;0,(G93*G84+H36*(G87+G85))/(G84+G85+G87),H36)</f>
        <v>2.0479651535739261</v>
      </c>
      <c r="I93" s="34">
        <f t="shared" si="62"/>
        <v>2.1910064597493979</v>
      </c>
      <c r="J93" s="34">
        <f t="shared" si="62"/>
        <v>2.3243902465315935</v>
      </c>
      <c r="K93" s="34">
        <f t="shared" si="62"/>
        <v>2.5610586791781231</v>
      </c>
      <c r="L93" s="34">
        <f t="shared" si="62"/>
        <v>2.6653665324308466</v>
      </c>
      <c r="M93" s="34">
        <f t="shared" si="62"/>
        <v>2.7503181157996601</v>
      </c>
      <c r="N93" s="34">
        <f t="shared" si="62"/>
        <v>2.837065978469179</v>
      </c>
      <c r="O93" s="34">
        <f t="shared" si="62"/>
        <v>2.8613252425364926</v>
      </c>
      <c r="P93" s="34">
        <f t="shared" si="62"/>
        <v>2.8811994302890493</v>
      </c>
      <c r="Q93" s="34">
        <f t="shared" si="62"/>
        <v>2.8978093296845198</v>
      </c>
      <c r="R93" s="34">
        <f t="shared" si="62"/>
        <v>2.9141190539153063</v>
      </c>
      <c r="S93" s="34">
        <f t="shared" si="62"/>
        <v>2.9277473267085456</v>
      </c>
      <c r="T93" s="34">
        <f t="shared" si="62"/>
        <v>2.9394468537068486</v>
      </c>
      <c r="U93" s="34">
        <f t="shared" si="62"/>
        <v>2.944447411481999</v>
      </c>
      <c r="V93" s="34">
        <f t="shared" si="62"/>
        <v>2.944447411481999</v>
      </c>
      <c r="W93" s="34">
        <f t="shared" si="62"/>
        <v>2.944447411481999</v>
      </c>
    </row>
    <row r="94" spans="2:23" x14ac:dyDescent="0.2">
      <c r="B94" s="26" t="s">
        <v>134</v>
      </c>
      <c r="C94" s="97"/>
      <c r="D94" s="97"/>
      <c r="E94" s="34">
        <f t="shared" ref="E94" si="63">(E93*(D84+D85+D87)+E37*(D86+D88))/D83</f>
        <v>1.80772</v>
      </c>
      <c r="F94" s="34">
        <f t="shared" ref="F94" si="64">(F93*(E84+E85+E87)+F37*(E86+E88))/E83</f>
        <v>1.9077200000000001</v>
      </c>
      <c r="G94" s="34">
        <f t="shared" ref="G94" si="65">(G93*(F84+F85+F87)+G37*(F86+F88))/F83</f>
        <v>1.9077200000000001</v>
      </c>
      <c r="H94" s="34">
        <f t="shared" ref="H94:W94" si="66">(H93*(G84+G85+G87)+H37*(G86+G88))/G83</f>
        <v>2.0510578068871177</v>
      </c>
      <c r="I94" s="34">
        <f t="shared" si="66"/>
        <v>2.1928297708470597</v>
      </c>
      <c r="J94" s="34">
        <f>(J93*(I84+I85+I87)+J37*(I86+I88))/I83</f>
        <v>2.3254135666366342</v>
      </c>
      <c r="K94" s="34">
        <f>(K93*(J84+J85+J87)+K37*(J86+J88))/J83</f>
        <v>2.563053873109562</v>
      </c>
      <c r="L94" s="34">
        <f t="shared" si="66"/>
        <v>2.6654743781161585</v>
      </c>
      <c r="M94" s="34">
        <f t="shared" si="66"/>
        <v>2.7503168914849998</v>
      </c>
      <c r="N94" s="34">
        <f t="shared" si="66"/>
        <v>2.8370176577301032</v>
      </c>
      <c r="O94" s="34">
        <f t="shared" si="66"/>
        <v>2.8613033742282625</v>
      </c>
      <c r="P94" s="34">
        <f t="shared" si="66"/>
        <v>2.8811904050057238</v>
      </c>
      <c r="Q94" s="34">
        <f t="shared" si="66"/>
        <v>2.8978064612574546</v>
      </c>
      <c r="R94" s="34">
        <f t="shared" si="66"/>
        <v>2.9141181941851926</v>
      </c>
      <c r="S94" s="34">
        <f t="shared" si="66"/>
        <v>2.9277471166231535</v>
      </c>
      <c r="T94" s="34">
        <f t="shared" si="66"/>
        <v>2.9394468114623864</v>
      </c>
      <c r="U94" s="97">
        <f t="shared" si="66"/>
        <v>2.9444474078066603</v>
      </c>
      <c r="V94" s="97">
        <f t="shared" si="66"/>
        <v>2.944447411481999</v>
      </c>
      <c r="W94" s="97">
        <f t="shared" si="66"/>
        <v>2.944447411481999</v>
      </c>
    </row>
    <row r="95" spans="2:23" x14ac:dyDescent="0.2">
      <c r="B95" s="35" t="s">
        <v>135</v>
      </c>
      <c r="C95" s="35"/>
      <c r="D95" s="35"/>
      <c r="E95" s="49">
        <f>IF('Criteria results'!$F$5=4,E104,E109)</f>
        <v>0</v>
      </c>
      <c r="F95" s="49">
        <f>IF('Criteria results'!$F$5=4,F104,F109)</f>
        <v>0</v>
      </c>
      <c r="G95" s="49">
        <f>IF('Criteria results'!$F$5=4,G104,G109)</f>
        <v>0</v>
      </c>
      <c r="H95" s="49">
        <f>IF('Criteria results'!$F$5=4,H104,H109)</f>
        <v>0</v>
      </c>
      <c r="I95" s="49">
        <f>IF('Criteria results'!$F$5=4,I104,I109)</f>
        <v>0</v>
      </c>
      <c r="J95" s="49">
        <f>IF('Criteria results'!$F$5=4,J104,J109)</f>
        <v>0</v>
      </c>
      <c r="K95" s="49">
        <f>IF('Criteria results'!$F$5=4,K104,K109)</f>
        <v>0</v>
      </c>
      <c r="L95" s="49">
        <f>IF('Criteria results'!$F$5=4,L104,L109)</f>
        <v>0</v>
      </c>
      <c r="M95" s="49">
        <f>IF('Criteria results'!$F$5=4,M104,M109)</f>
        <v>0</v>
      </c>
      <c r="N95" s="49">
        <f>IF('Criteria results'!$F$5=4,N104,N109)</f>
        <v>0</v>
      </c>
      <c r="O95" s="49">
        <f>IF('Criteria results'!$F$5=4,O104,O109)</f>
        <v>0</v>
      </c>
      <c r="P95" s="49">
        <f>IF('Criteria results'!$F$5=4,P104,P109)</f>
        <v>0</v>
      </c>
      <c r="Q95" s="49">
        <f>IF('Criteria results'!$F$5=4,Q104,Q109)</f>
        <v>0</v>
      </c>
      <c r="R95" s="49">
        <f>IF('Criteria results'!$F$5=4,R104,R109)</f>
        <v>0</v>
      </c>
      <c r="S95" s="49">
        <f>IF('Criteria results'!$F$5=4,S104,S109)</f>
        <v>0</v>
      </c>
      <c r="T95" s="49">
        <f>IF('Criteria results'!$F$5=4,T104,T109)</f>
        <v>0</v>
      </c>
      <c r="U95" s="49">
        <f>IF('Criteria results'!$F$5=4,U104,U109)</f>
        <v>0</v>
      </c>
      <c r="V95" s="49">
        <f>IF('Criteria results'!$F$5=4,V104,V109)</f>
        <v>0</v>
      </c>
      <c r="W95" s="49">
        <f>IF('Criteria results'!$F$5=4,W104,W109)</f>
        <v>0</v>
      </c>
    </row>
    <row r="97" spans="1:54" x14ac:dyDescent="0.2">
      <c r="B97" s="113" t="s">
        <v>185</v>
      </c>
      <c r="C97" s="115">
        <f t="shared" ref="C97:T97" si="67">((1+C92/100)/((1+C23/100)*(1+C41/100))-1)*100</f>
        <v>-11.397004774846863</v>
      </c>
      <c r="D97" s="115">
        <f t="shared" si="67"/>
        <v>-10.258126208091767</v>
      </c>
      <c r="E97" s="115">
        <f>((1+E92/100)/((1+E23/100)*(1+E41/100))-1)*100</f>
        <v>-5.1265148425786773</v>
      </c>
      <c r="F97" s="115">
        <f t="shared" si="67"/>
        <v>-4.3974442453050262</v>
      </c>
      <c r="G97" s="115">
        <f t="shared" si="67"/>
        <v>-3.3667168756985943</v>
      </c>
      <c r="H97" s="115">
        <f t="shared" si="67"/>
        <v>-2.4818120584936265</v>
      </c>
      <c r="I97" s="115">
        <f t="shared" si="67"/>
        <v>-1.7354991123177177</v>
      </c>
      <c r="J97" s="115">
        <f t="shared" si="67"/>
        <v>-1.6845391065855475</v>
      </c>
      <c r="K97" s="115">
        <f t="shared" si="67"/>
        <v>-1.5393500231459356</v>
      </c>
      <c r="L97" s="115">
        <f t="shared" si="67"/>
        <v>-1.378689308053338</v>
      </c>
      <c r="M97" s="115">
        <f t="shared" si="67"/>
        <v>-1.2676973835179073</v>
      </c>
      <c r="N97" s="115">
        <f t="shared" si="67"/>
        <v>-1.1807035929852439</v>
      </c>
      <c r="O97" s="115">
        <f t="shared" si="67"/>
        <v>-1.1519269109599217</v>
      </c>
      <c r="P97" s="115">
        <f t="shared" si="67"/>
        <v>-1.1690840889968301</v>
      </c>
      <c r="Q97" s="115">
        <f t="shared" si="67"/>
        <v>-1.1893399799684956</v>
      </c>
      <c r="R97" s="115">
        <f t="shared" si="67"/>
        <v>-1.2098395353651981</v>
      </c>
      <c r="S97" s="115">
        <f t="shared" si="67"/>
        <v>-1.2546493275124582</v>
      </c>
      <c r="T97" s="115">
        <f t="shared" si="67"/>
        <v>-1.2694697319551529</v>
      </c>
      <c r="U97" s="115">
        <f>((1+U92/100)/((1+U23/100)*(1+U41/100))-1)*100</f>
        <v>-1.3016984521820762</v>
      </c>
      <c r="V97" s="115">
        <f t="shared" ref="V97:W97" si="68">((1+V92/100)/((1+V23/100)*(1+V41/100))-1)*100</f>
        <v>-1.3427969342619028</v>
      </c>
      <c r="W97" s="115">
        <f t="shared" si="68"/>
        <v>-1.284519284119312</v>
      </c>
    </row>
    <row r="98" spans="1:54" ht="15" x14ac:dyDescent="0.2">
      <c r="A98" s="224"/>
      <c r="F98" s="223"/>
      <c r="G98" s="223"/>
      <c r="H98" s="223"/>
      <c r="I98" s="223"/>
      <c r="J98" s="223"/>
      <c r="K98" s="223"/>
      <c r="L98" s="223"/>
      <c r="M98" s="223"/>
      <c r="N98" s="223"/>
      <c r="O98" s="223"/>
      <c r="P98" s="223"/>
      <c r="Q98" s="223"/>
      <c r="R98" s="223"/>
      <c r="S98" s="223"/>
      <c r="T98" s="223"/>
      <c r="U98" s="77"/>
      <c r="V98" s="77"/>
      <c r="W98" s="77"/>
    </row>
    <row r="99" spans="1:54" s="25" customFormat="1" ht="12.75" outlineLevel="1" x14ac:dyDescent="0.2">
      <c r="B99" s="25" t="s">
        <v>136</v>
      </c>
      <c r="C99" s="112"/>
      <c r="D99" s="112"/>
      <c r="E99" s="112"/>
      <c r="F99" s="112"/>
      <c r="G99" s="112"/>
      <c r="H99" s="112"/>
      <c r="I99" s="112"/>
      <c r="J99" s="112"/>
      <c r="K99" s="112"/>
      <c r="L99" s="112"/>
      <c r="M99" s="112"/>
      <c r="N99" s="112"/>
      <c r="O99" s="112"/>
      <c r="P99" s="112"/>
      <c r="Q99" s="112"/>
      <c r="R99" s="112"/>
      <c r="S99" s="112"/>
      <c r="T99" s="112"/>
      <c r="U99" s="112"/>
      <c r="V99" s="112"/>
      <c r="W99" s="112"/>
    </row>
    <row r="100" spans="1:54" s="127" customFormat="1" ht="12.75" outlineLevel="1"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54" s="127" customFormat="1" ht="12.75" outlineLevel="1" x14ac:dyDescent="0.2">
      <c r="B101" s="106" t="s">
        <v>292</v>
      </c>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54" outlineLevel="1" x14ac:dyDescent="0.2">
      <c r="B102" s="120" t="s">
        <v>43</v>
      </c>
      <c r="C102" s="34">
        <v>99.250228881835938</v>
      </c>
      <c r="D102" s="34">
        <v>85.59527587890625</v>
      </c>
      <c r="E102" s="34">
        <v>77.284423828125</v>
      </c>
      <c r="F102" s="34">
        <v>70.579917907714844</v>
      </c>
      <c r="G102" s="34">
        <v>65.467704772949219</v>
      </c>
      <c r="H102" s="34">
        <v>59.991008758544922</v>
      </c>
      <c r="I102" s="34">
        <v>55.344291687011719</v>
      </c>
      <c r="J102" s="34">
        <v>50.929588317871094</v>
      </c>
      <c r="K102" s="34">
        <v>46.548633575439453</v>
      </c>
      <c r="L102" s="34">
        <v>42.553428649902344</v>
      </c>
      <c r="M102" s="34">
        <v>38.904609680175781</v>
      </c>
      <c r="N102" s="34">
        <v>35.532783508300781</v>
      </c>
      <c r="O102" s="34">
        <v>32.447288513183594</v>
      </c>
      <c r="P102" s="34">
        <v>29.548385620117188</v>
      </c>
      <c r="Q102" s="34">
        <v>26.894218444824219</v>
      </c>
      <c r="R102" s="34">
        <v>24.415132522583008</v>
      </c>
      <c r="S102" s="34">
        <v>22.071514129638672</v>
      </c>
      <c r="T102" s="34">
        <v>19.862794876098633</v>
      </c>
      <c r="U102" s="34">
        <v>17.477487564086914</v>
      </c>
      <c r="V102" s="34">
        <v>15.305729866027832</v>
      </c>
      <c r="W102" s="34">
        <v>13.191497802734375</v>
      </c>
      <c r="X102" s="34"/>
      <c r="Y102" s="34"/>
      <c r="Z102" s="34"/>
    </row>
    <row r="103" spans="1:54" s="5" customFormat="1" ht="12.75" x14ac:dyDescent="0.2">
      <c r="A103" s="26"/>
      <c r="B103" s="26" t="s">
        <v>132</v>
      </c>
      <c r="C103" s="1">
        <v>1.7160236835479736</v>
      </c>
      <c r="D103" s="1">
        <v>1.6482961177825928</v>
      </c>
      <c r="E103" s="1">
        <v>1.807720422744751</v>
      </c>
      <c r="F103" s="1">
        <v>1.9077204465866089</v>
      </c>
      <c r="G103" s="1">
        <v>1.9077204465866089</v>
      </c>
      <c r="H103" s="1">
        <v>2.0510580539703369</v>
      </c>
      <c r="I103" s="1">
        <v>2.1928298473358154</v>
      </c>
      <c r="J103" s="1">
        <v>2.3254132270812988</v>
      </c>
      <c r="K103" s="1">
        <v>2.5630533695220947</v>
      </c>
      <c r="L103" s="1">
        <v>2.665473461151123</v>
      </c>
      <c r="M103" s="1">
        <v>2.7503159046173096</v>
      </c>
      <c r="N103" s="1">
        <v>2.8370163440704346</v>
      </c>
      <c r="O103" s="1">
        <v>2.8613014221191406</v>
      </c>
      <c r="P103" s="1">
        <v>2.8811883926391602</v>
      </c>
      <c r="Q103" s="1">
        <v>2.8978040218353271</v>
      </c>
      <c r="R103" s="1">
        <v>2.9141147136688232</v>
      </c>
      <c r="S103" s="1">
        <v>2.9277434349060059</v>
      </c>
      <c r="T103" s="1">
        <v>2.9394416809082031</v>
      </c>
      <c r="U103" s="99">
        <v>2.944441556930542</v>
      </c>
      <c r="V103" s="99">
        <v>2.9444413185119629</v>
      </c>
      <c r="W103" s="99">
        <v>2.9444413185119629</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2.75" x14ac:dyDescent="0.2">
      <c r="B104" s="26" t="s">
        <v>184</v>
      </c>
      <c r="C104" s="1"/>
      <c r="D104" s="1"/>
      <c r="E104" s="1"/>
      <c r="F104" s="1"/>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c r="C105" s="1"/>
      <c r="D105" s="1"/>
      <c r="E105" s="1"/>
      <c r="F105" s="1"/>
      <c r="G105" s="222"/>
      <c r="H105" s="222"/>
      <c r="I105" s="222"/>
      <c r="J105" s="222"/>
      <c r="K105" s="222"/>
      <c r="L105" s="222"/>
      <c r="M105" s="222"/>
      <c r="N105" s="222"/>
      <c r="O105" s="222"/>
      <c r="P105" s="222"/>
      <c r="Q105" s="222"/>
      <c r="R105" s="222"/>
      <c r="S105" s="222"/>
      <c r="T105" s="222"/>
      <c r="U105" s="222"/>
      <c r="V105" s="222"/>
      <c r="W105" s="222"/>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106" t="s">
        <v>293</v>
      </c>
      <c r="C106" s="37"/>
      <c r="D106" s="37"/>
      <c r="E106" s="37"/>
      <c r="F106" s="37"/>
      <c r="G106" s="225"/>
      <c r="H106" s="225"/>
      <c r="I106" s="225"/>
      <c r="J106" s="225"/>
      <c r="K106" s="225"/>
      <c r="L106" s="225"/>
      <c r="M106" s="225"/>
      <c r="N106" s="225"/>
      <c r="O106" s="225"/>
      <c r="P106" s="225"/>
      <c r="Q106" s="225"/>
      <c r="R106" s="225"/>
      <c r="S106" s="225"/>
      <c r="T106" s="225"/>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20" t="s">
        <v>43</v>
      </c>
      <c r="C107" s="34">
        <v>99.250228881835938</v>
      </c>
      <c r="D107" s="34">
        <v>85.59527587890625</v>
      </c>
      <c r="E107" s="34">
        <v>77.284423828125</v>
      </c>
      <c r="F107" s="34">
        <v>70.579917907714844</v>
      </c>
      <c r="G107" s="34">
        <v>65.467704772949219</v>
      </c>
      <c r="H107" s="34">
        <v>59.991008758544922</v>
      </c>
      <c r="I107" s="34">
        <v>55.344291687011719</v>
      </c>
      <c r="J107" s="34">
        <v>50.929588317871094</v>
      </c>
      <c r="K107" s="34">
        <v>46.611194610595703</v>
      </c>
      <c r="L107" s="34">
        <v>42.444400787353516</v>
      </c>
      <c r="M107" s="34">
        <v>38.387298583984375</v>
      </c>
      <c r="N107" s="34">
        <v>34.641670227050781</v>
      </c>
      <c r="O107" s="34">
        <v>31.183183670043945</v>
      </c>
      <c r="P107" s="34">
        <v>27.912656784057617</v>
      </c>
      <c r="Q107" s="34">
        <v>24.888496398925781</v>
      </c>
      <c r="R107" s="34">
        <v>22.0421142578125</v>
      </c>
      <c r="S107" s="34">
        <v>19.335952758789063</v>
      </c>
      <c r="T107" s="34">
        <v>16.769845962524414</v>
      </c>
      <c r="U107" s="34">
        <v>14.034420013427734</v>
      </c>
      <c r="V107" s="34">
        <v>11.52135181427002</v>
      </c>
      <c r="W107" s="34">
        <v>9.0707788467407227</v>
      </c>
      <c r="X107" s="34"/>
      <c r="Y107" s="34"/>
      <c r="Z107" s="34"/>
    </row>
    <row r="108" spans="1:54" x14ac:dyDescent="0.2">
      <c r="B108" s="26" t="s">
        <v>132</v>
      </c>
      <c r="C108" s="1">
        <v>1.7160236835479736</v>
      </c>
      <c r="D108" s="1">
        <v>1.6482961177825928</v>
      </c>
      <c r="E108" s="1">
        <v>1.807720422744751</v>
      </c>
      <c r="F108" s="1">
        <v>1.9077204465866089</v>
      </c>
      <c r="G108" s="1">
        <v>1.9077204465866089</v>
      </c>
      <c r="H108" s="1">
        <v>2.0510580539703369</v>
      </c>
      <c r="I108" s="1">
        <v>2.1928298473358154</v>
      </c>
      <c r="J108" s="1">
        <v>2.3254132270812988</v>
      </c>
      <c r="K108" s="1">
        <v>2.456688404083252</v>
      </c>
      <c r="L108" s="1">
        <v>2.5721971988677979</v>
      </c>
      <c r="M108" s="1">
        <v>2.6604959964752197</v>
      </c>
      <c r="N108" s="1">
        <v>2.8183760643005371</v>
      </c>
      <c r="O108" s="1">
        <v>2.8305997848510742</v>
      </c>
      <c r="P108" s="1">
        <v>2.8365621566772461</v>
      </c>
      <c r="Q108" s="1">
        <v>2.8365628719329834</v>
      </c>
      <c r="R108" s="1">
        <v>2.8365628719329834</v>
      </c>
      <c r="S108" s="1">
        <v>2.8365628719329834</v>
      </c>
      <c r="T108" s="1">
        <v>2.8365628719329834</v>
      </c>
      <c r="U108" s="1">
        <v>2.8365628719329834</v>
      </c>
      <c r="V108" s="1">
        <v>2.8365628719329834</v>
      </c>
      <c r="W108" s="1">
        <v>2.8365628719329834</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184</v>
      </c>
      <c r="C109" s="34"/>
      <c r="D109" s="34"/>
      <c r="E109" s="34"/>
      <c r="F109" s="34"/>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2" spans="1:54" x14ac:dyDescent="0.2">
      <c r="E112" s="34"/>
      <c r="F112" s="34"/>
      <c r="G112" s="121"/>
      <c r="H112" s="121"/>
      <c r="I112" s="121"/>
      <c r="J112" s="121"/>
      <c r="K112" s="121"/>
      <c r="L112" s="121"/>
      <c r="M112" s="121"/>
      <c r="N112" s="121"/>
      <c r="O112" s="121"/>
      <c r="P112" s="121"/>
      <c r="Q112" s="121"/>
      <c r="R112" s="121"/>
      <c r="S112" s="121"/>
      <c r="T112" s="121"/>
      <c r="U112" s="121"/>
      <c r="V112" s="121"/>
      <c r="W112" s="121"/>
    </row>
    <row r="113" spans="5:23" x14ac:dyDescent="0.2">
      <c r="E113" s="34"/>
      <c r="F113" s="34"/>
      <c r="G113" s="121"/>
      <c r="H113" s="121"/>
      <c r="I113" s="121"/>
      <c r="J113" s="121"/>
      <c r="K113" s="121"/>
      <c r="L113" s="121"/>
      <c r="M113" s="121"/>
      <c r="N113" s="121"/>
      <c r="O113" s="121"/>
      <c r="P113" s="121"/>
      <c r="Q113" s="121"/>
      <c r="R113" s="121"/>
      <c r="S113" s="121"/>
      <c r="T113" s="121"/>
      <c r="U113" s="121"/>
      <c r="V113" s="121"/>
      <c r="W113"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6" spans="5:23"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E122" s="34"/>
      <c r="F122" s="34"/>
      <c r="G122" s="121"/>
      <c r="H122" s="121"/>
      <c r="I122" s="121"/>
      <c r="J122" s="121"/>
      <c r="K122" s="121"/>
      <c r="L122" s="121"/>
      <c r="M122" s="121"/>
      <c r="N122" s="121"/>
      <c r="O122" s="121"/>
      <c r="P122" s="121"/>
      <c r="Q122" s="121"/>
      <c r="R122" s="121"/>
      <c r="S122" s="121"/>
      <c r="T122" s="121"/>
      <c r="U122" s="121"/>
      <c r="V122" s="121"/>
      <c r="W122" s="121"/>
    </row>
    <row r="123" spans="5:23" x14ac:dyDescent="0.2">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E125" s="34"/>
      <c r="F125" s="34"/>
      <c r="G125" s="121"/>
      <c r="H125" s="121"/>
      <c r="I125" s="121"/>
      <c r="J125" s="121"/>
      <c r="K125" s="121"/>
      <c r="L125" s="121"/>
      <c r="M125" s="121"/>
      <c r="N125" s="121"/>
      <c r="O125" s="121"/>
      <c r="P125" s="121"/>
      <c r="Q125" s="121"/>
      <c r="R125" s="121"/>
      <c r="S125" s="121"/>
      <c r="T125" s="121"/>
      <c r="U125" s="121"/>
      <c r="V125" s="121"/>
      <c r="W125" s="121"/>
    </row>
    <row r="126" spans="5:23" x14ac:dyDescent="0.2">
      <c r="G126" s="121"/>
      <c r="H126" s="121"/>
      <c r="I126" s="121"/>
      <c r="J126" s="121"/>
      <c r="K126" s="121"/>
      <c r="L126" s="121"/>
      <c r="M126" s="121"/>
      <c r="N126" s="121"/>
      <c r="O126" s="121"/>
      <c r="P126" s="121"/>
      <c r="Q126" s="121"/>
      <c r="R126" s="121"/>
      <c r="S126" s="121"/>
      <c r="T126" s="121"/>
      <c r="U126" s="121"/>
      <c r="V126" s="121"/>
      <c r="W126" s="121"/>
    </row>
    <row r="127" spans="5:23" x14ac:dyDescent="0.2">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K36:N36">
    <cfRule type="expression" dxfId="30" priority="8">
      <formula>K10=$C$6+1</formula>
    </cfRule>
  </conditionalFormatting>
  <conditionalFormatting sqref="K37:N37">
    <cfRule type="expression" dxfId="29" priority="9">
      <formula>K10=$C$6+1</formula>
    </cfRule>
  </conditionalFormatting>
  <conditionalFormatting sqref="U10:W43 U45:W52 U54:W76 U78:W98 U100:W130">
    <cfRule type="expression" dxfId="28" priority="3">
      <formula>U$10&gt;$C$7</formula>
    </cfRule>
  </conditionalFormatting>
  <conditionalFormatting sqref="G12:M12">
    <cfRule type="expression" dxfId="27" priority="50">
      <formula>AND(G10&gt;$C$5,G10&lt;=$C$6)</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CY</v>
      </c>
    </row>
    <row r="4" spans="1:51" x14ac:dyDescent="0.2">
      <c r="B4" s="64" t="s">
        <v>38</v>
      </c>
      <c r="C4" s="21"/>
    </row>
    <row r="5" spans="1:51" x14ac:dyDescent="0.2">
      <c r="A5" s="29"/>
      <c r="B5" s="22" t="str">
        <f>'Input data'!B5</f>
        <v>Last year before the adjustment</v>
      </c>
      <c r="C5" s="23">
        <f>+'Input data'!C5</f>
        <v>2024</v>
      </c>
      <c r="K5" s="80"/>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-1.437066</v>
      </c>
      <c r="D12" s="2">
        <f>'Adjustment scenario'!D12</f>
        <v>2.087558</v>
      </c>
      <c r="E12" s="2">
        <f>'Adjustment scenario'!E12</f>
        <v>3.2270470000000002</v>
      </c>
      <c r="F12" s="2">
        <f>'Adjust. no safeguard'!F12</f>
        <v>3.482405</v>
      </c>
      <c r="G12" s="3">
        <f>'Adjust. no safeguard'!G12</f>
        <v>3.482405</v>
      </c>
      <c r="H12" s="3">
        <f>'Adjust. no safeguard'!H12</f>
        <v>3.482405</v>
      </c>
      <c r="I12" s="3">
        <f>'Adjust. no safeguard'!I12</f>
        <v>3.482405</v>
      </c>
      <c r="J12" s="3">
        <f>'Adjust. no safeguard'!J12</f>
        <v>3.482405</v>
      </c>
      <c r="K12" s="3">
        <f>IF(AND('Criteria results'!$F$5=4,'Criteria results'!$F$5=4),'Adjust. no safeguard'!K12-0.25,IF(AND('Criteria results'!$F$5=4,'Criteria results'!$F$5=7),'Adjust. no safeguard'!K12-0.5/3,IF(AND('Criteria results'!$F$5=7,'Criteria results'!$F$5=7),'Adjust. no safeguard'!K12,'Adjust. no safeguard'!K12)))</f>
        <v>3.232405</v>
      </c>
      <c r="L12" s="3">
        <f>IF(AND('Criteria results'!$F$5=4,'Criteria results'!$F$5=4),'Adjust. no safeguard'!L12-0.5,IF(AND('Criteria results'!$F$5=4,'Criteria results'!$F$5=7),'Adjust. no safeguard'!L12-0.5*2/3,IF(AND('Criteria results'!$F$5=7,'Criteria results'!$F$5=7),'Adjust. no safeguard'!L12,'Adjust. no safeguard'!L12)))</f>
        <v>2.982405</v>
      </c>
      <c r="M12" s="3">
        <f>IF('Criteria results'!$F$5=4,'Adjust. no safeguard'!M12-0.5,'Adjust. no safeguard'!M12)</f>
        <v>2.982405</v>
      </c>
      <c r="N12" s="3">
        <f>IF('Criteria results'!$F$5=4,'Adjust. no safeguard'!N12-0.5,IF(AND('Criteria results'!$F$5=7,'Criteria results'!$F$5=7),'Adjust. no safeguard'!N12-0.25,'Adjust. no safeguard'!N12-1/3*0.5))</f>
        <v>2.982405</v>
      </c>
      <c r="O12" s="3">
        <f>IF('Criteria results'!$F$5=4,'Adjust. no safeguard'!N12-0.5,IF(AND('Criteria results'!$F$5=7,'Criteria results'!$F$5=7),'Adjust. no safeguard'!O12-0.5,'Adjust. no safeguard'!O12-2/3*0.5))</f>
        <v>2.982405</v>
      </c>
      <c r="P12" s="3">
        <f>'Adjust. no safeguard'!P12-0.5</f>
        <v>2.982405</v>
      </c>
      <c r="Q12" s="3">
        <f>'Adjust. no safeguard'!Q12-0.5</f>
        <v>2.982405</v>
      </c>
      <c r="R12" s="3">
        <f>'Adjust. no safeguard'!R12-0.5</f>
        <v>2.982405</v>
      </c>
      <c r="S12" s="3">
        <f>'Adjust. no safeguard'!S12-0.5</f>
        <v>2.982405</v>
      </c>
      <c r="T12" s="3">
        <f>'Adjust. no safeguard'!T12-0.5</f>
        <v>2.982405</v>
      </c>
      <c r="U12" s="3">
        <f>'Adjust. no safeguard'!U12-0.5</f>
        <v>2.982405</v>
      </c>
      <c r="V12" s="3">
        <f>'Adjust. no safeguard'!V12-0.5</f>
        <v>2.982405</v>
      </c>
      <c r="W12" s="3">
        <f>'Adjust. no safeguard'!W12-0.5</f>
        <v>2.982405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8.0633499999999997E-2</v>
      </c>
      <c r="D13" s="2">
        <f>'Input data'!D14</f>
        <v>0</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-4.4074220000000004</v>
      </c>
      <c r="D14" s="2">
        <f>'Input data'!D15</f>
        <v>-0.74485959999999996</v>
      </c>
      <c r="E14" s="2">
        <f>'Input data'!E15</f>
        <v>0.60125580000000001</v>
      </c>
      <c r="F14" s="2">
        <f>'Input data'!F15</f>
        <v>0.99131420000000003</v>
      </c>
      <c r="G14" s="2">
        <f>'Input data'!G15</f>
        <v>1.300675</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20.90879</v>
      </c>
      <c r="E17" s="101">
        <f>'Input data'!E20</f>
        <v>21.00188</v>
      </c>
      <c r="F17" s="101">
        <f>'Input data'!F20</f>
        <v>21.01275</v>
      </c>
      <c r="G17" s="101">
        <f>'Input data'!G20</f>
        <v>21.349210000000006</v>
      </c>
      <c r="H17" s="101">
        <f>'Input data'!H20</f>
        <v>21.616050000000001</v>
      </c>
      <c r="I17" s="101">
        <f>'Input data'!I20</f>
        <v>21.792829999999999</v>
      </c>
      <c r="J17" s="101">
        <f>'Input data'!J20</f>
        <v>21.931189999999997</v>
      </c>
      <c r="K17" s="101">
        <f>'Input data'!K20</f>
        <v>21.810479999999998</v>
      </c>
      <c r="L17" s="101">
        <f>'Input data'!L20</f>
        <v>22.04786</v>
      </c>
      <c r="M17" s="101">
        <f>'Input data'!M20</f>
        <v>22.285779999999999</v>
      </c>
      <c r="N17" s="101">
        <f>'Input data'!N20</f>
        <v>22.47654</v>
      </c>
      <c r="O17" s="101">
        <f>'Input data'!O20</f>
        <v>22.706669999999999</v>
      </c>
      <c r="P17" s="101">
        <f>'Input data'!P20</f>
        <v>22.857150000000004</v>
      </c>
      <c r="Q17" s="101">
        <f>'Input data'!Q20</f>
        <v>23.067840000000004</v>
      </c>
      <c r="R17" s="101">
        <f>'Input data'!R20</f>
        <v>23.210700000000003</v>
      </c>
      <c r="S17" s="101">
        <f>'Input data'!S20</f>
        <v>23.320980000000006</v>
      </c>
      <c r="T17" s="101">
        <f>'Input data'!T20</f>
        <v>23.423589999999997</v>
      </c>
      <c r="U17" s="101">
        <f>'Input data'!U20</f>
        <v>23.21922</v>
      </c>
      <c r="V17" s="101">
        <f>'Input data'!V20</f>
        <v>23.402750000000005</v>
      </c>
      <c r="W17" s="101">
        <f>'Input data'!W20</f>
        <v>23.416050000000002</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0.43526049999999999</v>
      </c>
      <c r="D18" s="101">
        <f>'Input data'!D26</f>
        <v>0.41113149999999998</v>
      </c>
      <c r="E18" s="101">
        <f>'Input data'!E26</f>
        <v>0.4049838</v>
      </c>
      <c r="F18" s="101">
        <f>'Input data'!F26</f>
        <v>0.39883610000000003</v>
      </c>
      <c r="G18" s="101">
        <f>'Input data'!G26</f>
        <v>0.3926885</v>
      </c>
      <c r="H18" s="101">
        <f>'Input data'!H26</f>
        <v>0.38654080000000002</v>
      </c>
      <c r="I18" s="101">
        <f>'Input data'!I26</f>
        <v>0.38039309999999998</v>
      </c>
      <c r="J18" s="101">
        <f>'Input data'!J26</f>
        <v>0.37424540000000001</v>
      </c>
      <c r="K18" s="101">
        <f>'Input data'!K26</f>
        <v>0.36809770000000003</v>
      </c>
      <c r="L18" s="101">
        <f>'Input data'!L26</f>
        <v>0.36194999999999999</v>
      </c>
      <c r="M18" s="101">
        <f>'Input data'!M26</f>
        <v>0.35580240000000002</v>
      </c>
      <c r="N18" s="101">
        <f>'Input data'!N26</f>
        <v>0.34965469999999998</v>
      </c>
      <c r="O18" s="101">
        <f>'Input data'!O26</f>
        <v>0.34350700000000001</v>
      </c>
      <c r="P18" s="101">
        <f>'Input data'!P26</f>
        <v>0.33735929999999997</v>
      </c>
      <c r="Q18" s="101">
        <f>'Input data'!Q26</f>
        <v>0.33121159999999999</v>
      </c>
      <c r="R18" s="101">
        <f>'Input data'!R26</f>
        <v>0.32506390000000002</v>
      </c>
      <c r="S18" s="101">
        <f>'Input data'!S26</f>
        <v>0.31891629999999999</v>
      </c>
      <c r="T18" s="101">
        <f>'Input data'!T26</f>
        <v>0.31276860000000001</v>
      </c>
      <c r="U18" s="101">
        <f>'Input data'!U26</f>
        <v>0.30662089999999997</v>
      </c>
      <c r="V18" s="101">
        <f>'Input data'!V26</f>
        <v>0.3004732</v>
      </c>
      <c r="W18" s="101">
        <f>'Input data'!W26</f>
        <v>0.29432550000000002</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23.926369999999999</v>
      </c>
      <c r="D22" s="100">
        <f>IF(AND(D49&gt;1,C49&gt;1),IF(AND(D49&gt;0,C49&gt;0),D26*(D50/100+1),0)+IF(D49&gt;0,C22*(1+D51/100),0)-C22*(1+'Input data'!D30/100),IF(D49=1,D26,C22*(1+D51/100)))</f>
        <v>25.136550003195801</v>
      </c>
      <c r="E22" s="100">
        <f>IF(AND(E49&gt;1,D49&gt;1),IF(AND(E49&gt;0,D49&gt;0),E26*(E50/100+1),0)+IF(E49&gt;0,D22*(1+E51/100),0)-D22*(1+'Input data'!E30/100),IF(E49=1,E26,D22*(1+E51/100)))</f>
        <v>25.755220072397957</v>
      </c>
      <c r="F22" s="100">
        <f>IF(AND(F49&gt;1,E49&gt;1),IF(AND(F49&gt;0,E49&gt;0),F26*(F50/100+1),0)+IF(F49&gt;0,E22*(1+F51/100),0)-E22*(1+'Input data'!F30/100),IF(F49=1,F26,E22*(1+F51/100)))</f>
        <v>26.470858995717016</v>
      </c>
      <c r="G22" s="34">
        <f>IF(AND(G49&gt;1,F49&gt;1),IF(AND(G49&gt;0,F49&gt;0),G26*(G50/100+1),0)+IF(G49&gt;0,F22*(1+G51/100),0)-F22*(1+'Input data'!G30/100),IF(G49=1,G26,F22*(1+G51/100)))</f>
        <v>27.268041090968172</v>
      </c>
      <c r="H22" s="34">
        <f>IF(AND(H49&gt;1,G49&gt;1),IF(AND(H49&gt;0,G49&gt;0),H26*(H50/100+1),0)+IF(H49&gt;0,G22*(1+H51/100),0)-G22*(1+'Input data'!H30/100),IF(H49=1,H26,G22*(1+H51/100)))</f>
        <v>27.867541790332417</v>
      </c>
      <c r="I22" s="34">
        <f>IF(AND(I49&gt;1,H49&gt;1),IF(AND(I49&gt;0,H49&gt;0),I26*(I50/100+1),0)+IF(I49&gt;0,H22*(1+I51/100),0)-H22*(1+'Input data'!I30/100),IF(I49=1,I26,H22*(1+I51/100)))</f>
        <v>28.297141405037568</v>
      </c>
      <c r="J22" s="34">
        <f>IF(AND(J49&gt;1,I49&gt;1),IF(AND(J49&gt;0,I49&gt;0),J26*(J50/100+1),0)+IF(J49&gt;0,I22*(1+J51/100),0)-I22*(1+'Input data'!J30/100),IF(J49=1,J26,I22*(1+J51/100)))</f>
        <v>28.749593171076548</v>
      </c>
      <c r="K22" s="34">
        <f>IF(AND(K49&gt;1,J49&gt;1),IF(AND(K49&gt;0,J49&gt;0),K26*(K50/100+1),0)+IF(K49&gt;0,J22*(1+K51/100),0)-J22*(1+'Input data'!K30/100),IF(K49=1,K26,J22*(1+K51/100)))</f>
        <v>29.281611867601544</v>
      </c>
      <c r="L22" s="34">
        <f>IF(AND(L49&gt;1,K49&gt;1),IF(AND(L49&gt;0,K49&gt;0),L26*(L50/100+1),0)+IF(L49&gt;0,K22*(1+L51/100),0)-K22*(1+'Input data'!L30/100),IF(L49=1,L26,K22*(1+L51/100)))</f>
        <v>29.780062588276234</v>
      </c>
      <c r="M22" s="34">
        <f>IF(AND(M49&gt;1,L49&gt;1),IF(AND(M49&gt;0,L49&gt;0),M26*(M50/100+1),0)+IF(M49&gt;0,L22*(1+M51/100),0)-L22*(1+'Input data'!M30/100),IF(M49=1,M26,L22*(1+M51/100)))</f>
        <v>30.203305414003207</v>
      </c>
      <c r="N22" s="34">
        <f>IF(AND(N49&gt;1,M49&gt;1),IF(AND(N49&gt;0,M49&gt;0),N26*(N50/100+1),0)+IF(N49&gt;0,M22*(1+N51/100),0)-M22*(1+'Input data'!N30/100),IF(N49=1,N26,M22*(1+N51/100)))</f>
        <v>30.624859429116242</v>
      </c>
      <c r="O22" s="34">
        <f>IF(AND(O49&gt;1,N49&gt;1),IF(AND(O49&gt;0,N49&gt;0),O26*(O50/100+1),0)+IF(O49&gt;0,N22*(1+O51/100),0)-N22*(1+'Input data'!O30/100),IF(O49=1,O26,N22*(1+O51/100)))</f>
        <v>31.04393576235676</v>
      </c>
      <c r="P22" s="34">
        <f>IF(AND(P49&gt;1,O49&gt;1),IF(AND(P49&gt;0,O49&gt;0),P26*(P50/100+1),0)+IF(P49&gt;0,O22*(1+P51/100),0)-O22*(1+'Input data'!P30/100),IF(P49=1,P26,O22*(1+P51/100)))</f>
        <v>31.521055288557502</v>
      </c>
      <c r="Q22" s="34">
        <f>IF(AND(Q49&gt;1,P49&gt;1),IF(AND(Q49&gt;0,P49&gt;0),Q26*(Q50/100+1),0)+IF(Q49&gt;0,P22*(1+Q51/100),0)-P22*(1+'Input data'!Q30/100),IF(Q49=1,Q26,P22*(1+Q51/100)))</f>
        <v>32.025829370211277</v>
      </c>
      <c r="R22" s="34">
        <f>IF(AND(R49&gt;1,Q49&gt;1),IF(AND(R49&gt;0,Q49&gt;0),R26*(R50/100+1),0)+IF(R49&gt;0,Q22*(1+R51/100),0)-Q22*(1+'Input data'!R30/100),IF(R49=1,R26,Q22*(1+R51/100)))</f>
        <v>32.559333890582998</v>
      </c>
      <c r="S22" s="34">
        <f>IF(AND(S49&gt;1,R49&gt;1),IF(AND(S49&gt;0,R49&gt;0),S26*(S50/100+1),0)+IF(S49&gt;0,R22*(1+S51/100),0)-R22*(1+'Input data'!S30/100),IF(S49=1,S26,R22*(1+S51/100)))</f>
        <v>33.13002412721697</v>
      </c>
      <c r="T22" s="34">
        <f>IF(AND(T49&gt;1,S49&gt;1),IF(AND(T49&gt;0,S49&gt;0),T26*(T50/100+1),0)+IF(T49&gt;0,S22*(1+T51/100),0)-S22*(1+'Input data'!T30/100),IF(T49=1,T26,S22*(1+T51/100)))</f>
        <v>33.728664447781789</v>
      </c>
      <c r="U22" s="34">
        <f>IF(AND(U49&gt;1,T49&gt;1),IF(AND(U49&gt;0,T49&gt;0),U26*(U50/100+1),0)+IF(U49&gt;0,T22*(1+U51/100),0)-T22*(1+'Input data'!U30/100),IF(U49=1,U26,T22*(1+U51/100)))</f>
        <v>34.360229642126768</v>
      </c>
      <c r="V22" s="34">
        <f>IF(AND(V49&gt;1,U49&gt;1),IF(AND(V49&gt;0,U49&gt;0),V26*(V50/100+1),0)+IF(V49&gt;0,U22*(1+V51/100),0)-U22*(1+'Input data'!V30/100),IF(V49=1,V26,U22*(1+V51/100)))</f>
        <v>35.027610787681873</v>
      </c>
      <c r="W22" s="34">
        <f>IF(AND(W49&gt;1,V49&gt;1),IF(AND(W49&gt;0,V49&gt;0),W26*(W50/100+1),0)+IF(W49&gt;0,V22*(1+W51/100),0)-V22*(1+'Input data'!W30/100),IF(W49=1,W26,V22*(1+W51/100)))</f>
        <v>35.69646441677709</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9.9113959999999999</v>
      </c>
      <c r="D23" s="100">
        <f t="shared" ref="D23:T23" si="0">100*(D22/C22-1)</f>
        <v>5.0579340000000084</v>
      </c>
      <c r="E23" s="100">
        <f t="shared" si="0"/>
        <v>2.461237000000005</v>
      </c>
      <c r="F23" s="100">
        <f t="shared" si="0"/>
        <v>2.7786169999999943</v>
      </c>
      <c r="G23" s="34">
        <f t="shared" si="0"/>
        <v>3.0115459999999983</v>
      </c>
      <c r="H23" s="34">
        <f t="shared" si="0"/>
        <v>2.1985469999999951</v>
      </c>
      <c r="I23" s="34">
        <f t="shared" si="0"/>
        <v>1.541576999999994</v>
      </c>
      <c r="J23" s="34">
        <f t="shared" si="0"/>
        <v>1.5989309999999923</v>
      </c>
      <c r="K23" s="34">
        <f t="shared" si="0"/>
        <v>1.8505259999999968</v>
      </c>
      <c r="L23" s="34">
        <f t="shared" si="0"/>
        <v>1.7022653087830797</v>
      </c>
      <c r="M23" s="34">
        <f t="shared" si="0"/>
        <v>1.4212287985371663</v>
      </c>
      <c r="N23" s="34">
        <f>100*(N22/M22-1)</f>
        <v>1.3957214594055189</v>
      </c>
      <c r="O23" s="34">
        <f t="shared" si="0"/>
        <v>1.3684187978413531</v>
      </c>
      <c r="P23" s="34">
        <f t="shared" si="0"/>
        <v>1.5369170000000043</v>
      </c>
      <c r="Q23" s="34">
        <f t="shared" si="0"/>
        <v>1.6013870000000097</v>
      </c>
      <c r="R23" s="34">
        <f t="shared" si="0"/>
        <v>1.6658569999999928</v>
      </c>
      <c r="S23" s="34">
        <f t="shared" si="0"/>
        <v>1.7527700000000035</v>
      </c>
      <c r="T23" s="34">
        <f t="shared" si="0"/>
        <v>1.8069420000000003</v>
      </c>
      <c r="U23" s="34">
        <f t="shared" ref="U23" si="1">100*(U22/T22-1)</f>
        <v>1.8724879999999944</v>
      </c>
      <c r="V23" s="34">
        <f t="shared" ref="V23" si="2">100*(V22/U22-1)</f>
        <v>1.9423069999999987</v>
      </c>
      <c r="W23" s="34">
        <f t="shared" ref="W23" si="3">100*(W22/V22-1)</f>
        <v>1.9095040000000063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90</v>
      </c>
    </row>
    <row r="26" spans="1:50" x14ac:dyDescent="0.2">
      <c r="B26" s="26" t="s">
        <v>61</v>
      </c>
      <c r="C26" s="34">
        <f>'Input data'!C34</f>
        <v>23.334579999999999</v>
      </c>
      <c r="D26" s="100">
        <f>+C26*(1+'Input data'!D33/100)</f>
        <v>24.1267537557842</v>
      </c>
      <c r="E26" s="100">
        <f>+D26*(1+'Input data'!E33/100)</f>
        <v>25.109058128758399</v>
      </c>
      <c r="F26" s="100">
        <f>+E26*(1+'Input data'!F33/100)</f>
        <v>26.049688893656899</v>
      </c>
      <c r="G26" s="34">
        <f>+F26*(1+'Input data'!G33/100)</f>
        <v>26.971436034910944</v>
      </c>
      <c r="H26" s="34">
        <f>+G26*(1+'Input data'!H33/100)</f>
        <v>27.664722233612871</v>
      </c>
      <c r="I26" s="34">
        <f>+H26*(1+'Input data'!I33/100)</f>
        <v>28.228160225339305</v>
      </c>
      <c r="J26" s="34">
        <f>+I26*(1+'Input data'!J33/100)</f>
        <v>28.749596164372218</v>
      </c>
      <c r="K26" s="34">
        <f>+J26*(1+'Input data'!K33/100)</f>
        <v>29.227709423480729</v>
      </c>
      <c r="L26" s="34">
        <f>+K26*(1+'Input data'!L33/100)</f>
        <v>29.688657875135874</v>
      </c>
      <c r="M26" s="34">
        <f>+L26*(1+'Input data'!M33/100)</f>
        <v>30.141439596389567</v>
      </c>
      <c r="N26" s="34">
        <f>+M26*(1+'Input data'!N33/100)</f>
        <v>30.593462627827932</v>
      </c>
      <c r="O26" s="34">
        <f>+N26*(1+'Input data'!O33/100)</f>
        <v>31.04393576235676</v>
      </c>
      <c r="P26" s="34">
        <f>+O26*(1+'Input data'!P33/100)</f>
        <v>31.521055909436214</v>
      </c>
      <c r="Q26" s="34">
        <f>+P26*(1+'Input data'!Q33/100)</f>
        <v>32.025830946664328</v>
      </c>
      <c r="R26" s="34">
        <f>+Q26*(1+'Input data'!R33/100)</f>
        <v>32.559336454072429</v>
      </c>
      <c r="S26" s="34">
        <f>+R26*(1+'Input data'!S33/100)</f>
        <v>33.130027712418574</v>
      </c>
      <c r="T26" s="34">
        <f>+S26*(1+'Input data'!T33/100)</f>
        <v>33.728667766465627</v>
      </c>
      <c r="U26" s="34">
        <f>+T26*(1+'Input data'!U33/100)</f>
        <v>34.360231673805849</v>
      </c>
      <c r="V26" s="34">
        <f>+U26*(1+'Input data'!V33/100)</f>
        <v>35.027612858822394</v>
      </c>
      <c r="W26" s="34">
        <f>+V26*(1+'Input data'!W33/100)</f>
        <v>35.696466877742253</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4">100*(C22/C26-1)</f>
        <v>2.5361073565498105</v>
      </c>
      <c r="D29" s="100">
        <f t="shared" si="4"/>
        <v>4.1853796728435144</v>
      </c>
      <c r="E29" s="100">
        <f t="shared" si="4"/>
        <v>2.5734216724739856</v>
      </c>
      <c r="F29" s="100">
        <f t="shared" si="4"/>
        <v>1.6167951324849383</v>
      </c>
      <c r="G29" s="34">
        <f t="shared" si="4"/>
        <v>1.0997006450576441</v>
      </c>
      <c r="H29" s="34">
        <f t="shared" si="4"/>
        <v>0.73313426032928231</v>
      </c>
      <c r="I29" s="34">
        <f t="shared" si="4"/>
        <v>0.2443700869897425</v>
      </c>
      <c r="J29" s="34">
        <f t="shared" si="4"/>
        <v>-1.0411609441263181E-5</v>
      </c>
      <c r="K29" s="34">
        <f t="shared" si="4"/>
        <v>0.1844224032058861</v>
      </c>
      <c r="L29" s="34">
        <f t="shared" si="4"/>
        <v>0.30787755217762669</v>
      </c>
      <c r="M29" s="34">
        <f t="shared" si="4"/>
        <v>0.20525170145173632</v>
      </c>
      <c r="N29" s="34">
        <f t="shared" si="4"/>
        <v>0.10262585072586816</v>
      </c>
      <c r="O29" s="34">
        <f t="shared" si="4"/>
        <v>0</v>
      </c>
      <c r="P29" s="34">
        <f t="shared" si="4"/>
        <v>-1.9697268816010194E-6</v>
      </c>
      <c r="Q29" s="34">
        <f t="shared" si="4"/>
        <v>-4.9224423093185976E-6</v>
      </c>
      <c r="R29" s="34">
        <f t="shared" si="4"/>
        <v>-7.873285234882843E-6</v>
      </c>
      <c r="S29" s="34">
        <f t="shared" si="4"/>
        <v>-1.0821607621114282E-5</v>
      </c>
      <c r="T29" s="34">
        <f t="shared" si="4"/>
        <v>-9.8393564185172977E-6</v>
      </c>
      <c r="U29" s="34">
        <f t="shared" ref="U29:W29" si="5">100*(U22/U26-1)</f>
        <v>-5.9128794638318993E-6</v>
      </c>
      <c r="V29" s="34">
        <f t="shared" si="5"/>
        <v>-5.9128794416274388E-6</v>
      </c>
      <c r="W29" s="34">
        <f t="shared" si="5"/>
        <v>-6.8941421349499876E-6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12.863001691856368</v>
      </c>
      <c r="D32" s="2">
        <f t="shared" si="6"/>
        <v>11.430702050949048</v>
      </c>
      <c r="E32" s="2">
        <f t="shared" si="6"/>
        <v>7.3089281278882812</v>
      </c>
      <c r="F32" s="2">
        <f t="shared" si="6"/>
        <v>6.5951837746716091</v>
      </c>
      <c r="G32" s="1">
        <f t="shared" si="6"/>
        <v>5.4581989819325161</v>
      </c>
      <c r="H32" s="1">
        <f t="shared" si="6"/>
        <v>4.6482302030670164</v>
      </c>
      <c r="I32" s="1">
        <f t="shared" si="6"/>
        <v>3.9977090889159461</v>
      </c>
      <c r="J32" s="1">
        <f t="shared" si="6"/>
        <v>4.0786592838835789</v>
      </c>
      <c r="K32" s="1">
        <f t="shared" si="6"/>
        <v>4.3586588593287567</v>
      </c>
      <c r="L32" s="1">
        <f t="shared" si="6"/>
        <v>4.2289786354850145</v>
      </c>
      <c r="M32" s="1">
        <f t="shared" si="6"/>
        <v>3.9631300394345148</v>
      </c>
      <c r="N32" s="1">
        <f t="shared" si="6"/>
        <v>3.9591478856325857</v>
      </c>
      <c r="O32" s="1">
        <f t="shared" si="6"/>
        <v>3.9533134771863265</v>
      </c>
      <c r="P32" s="1">
        <f t="shared" si="6"/>
        <v>4.0981857313250103</v>
      </c>
      <c r="Q32" s="1">
        <f t="shared" si="6"/>
        <v>4.136341605650018</v>
      </c>
      <c r="R32" s="1">
        <f t="shared" si="6"/>
        <v>4.1744620214750006</v>
      </c>
      <c r="S32" s="1">
        <f t="shared" si="6"/>
        <v>4.2355375879999935</v>
      </c>
      <c r="T32" s="1">
        <f t="shared" si="6"/>
        <v>4.2630344757500049</v>
      </c>
      <c r="U32" s="1">
        <f t="shared" si="6"/>
        <v>4.3021468387999917</v>
      </c>
      <c r="V32" s="1">
        <f t="shared" si="6"/>
        <v>4.3455968875249829</v>
      </c>
      <c r="W32" s="1">
        <f t="shared" si="6"/>
        <v>4.2839954432000171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1.716024</v>
      </c>
      <c r="D35" s="100">
        <f>'Input data'!D37</f>
        <v>1.648296</v>
      </c>
      <c r="E35" s="100">
        <f>'Input data'!E37</f>
        <v>1.80772</v>
      </c>
      <c r="F35" s="100">
        <f>'Input data'!F37</f>
        <v>1.9077200000000001</v>
      </c>
      <c r="G35" s="100">
        <f>'Input data'!G37</f>
        <v>1.9077200000000001</v>
      </c>
      <c r="H35" s="34">
        <f t="shared" ref="H35:W35" si="7">H92</f>
        <v>2.0510578068871177</v>
      </c>
      <c r="I35" s="34">
        <f t="shared" si="7"/>
        <v>2.1928297708470597</v>
      </c>
      <c r="J35" s="34">
        <f t="shared" si="7"/>
        <v>2.3254135666366342</v>
      </c>
      <c r="K35" s="34">
        <f t="shared" si="7"/>
        <v>2.456688810666209</v>
      </c>
      <c r="L35" s="34">
        <f t="shared" si="7"/>
        <v>2.5730224274454976</v>
      </c>
      <c r="M35" s="34">
        <f t="shared" si="7"/>
        <v>2.6726198392535356</v>
      </c>
      <c r="N35" s="34">
        <f t="shared" si="7"/>
        <v>2.7757142872742562</v>
      </c>
      <c r="O35" s="34">
        <f t="shared" si="7"/>
        <v>2.815023796191515</v>
      </c>
      <c r="P35" s="34">
        <f t="shared" si="7"/>
        <v>2.8529085527744713</v>
      </c>
      <c r="Q35" s="34">
        <f t="shared" si="7"/>
        <v>2.8893790012457314</v>
      </c>
      <c r="R35" s="34">
        <f t="shared" si="7"/>
        <v>2.9274760781871416</v>
      </c>
      <c r="S35" s="34">
        <f t="shared" si="7"/>
        <v>2.9651301136012016</v>
      </c>
      <c r="T35" s="34">
        <f t="shared" si="7"/>
        <v>3.0035018983123445</v>
      </c>
      <c r="U35" s="34">
        <f t="shared" si="7"/>
        <v>3.0386843222071218</v>
      </c>
      <c r="V35" s="34">
        <f t="shared" si="7"/>
        <v>3.0617544170565929</v>
      </c>
      <c r="W35" s="34">
        <f t="shared" si="7"/>
        <v>3.0869460593667086</v>
      </c>
    </row>
    <row r="36" spans="2:51" x14ac:dyDescent="0.2">
      <c r="B36" s="32" t="s">
        <v>94</v>
      </c>
      <c r="C36" s="1"/>
      <c r="D36" s="2">
        <f>'Input data'!D$39</f>
        <v>2.96</v>
      </c>
      <c r="E36" s="2">
        <f>'Input data'!E$39</f>
        <v>3.91</v>
      </c>
      <c r="F36" s="166">
        <f>'Input data'!F$39</f>
        <v>3.3161689999999999</v>
      </c>
      <c r="G36" s="166">
        <f>'Input data'!G$39</f>
        <v>3.3153579999999998</v>
      </c>
      <c r="H36" s="1">
        <f>G36+($O$36-$G$36)/($O$10-$G$10)</f>
        <v>3.381707</v>
      </c>
      <c r="I36" s="1">
        <f t="shared" ref="I36:M36" si="8">H36+($O$36-$G$36)/($O$10-$G$10)</f>
        <v>3.4480560000000002</v>
      </c>
      <c r="J36" s="1">
        <f t="shared" si="8"/>
        <v>3.5144050000000004</v>
      </c>
      <c r="K36" s="1">
        <f t="shared" si="8"/>
        <v>3.5807540000000007</v>
      </c>
      <c r="L36" s="1">
        <f t="shared" si="8"/>
        <v>3.6471030000000009</v>
      </c>
      <c r="M36" s="1">
        <f t="shared" si="8"/>
        <v>3.7134520000000011</v>
      </c>
      <c r="N36" s="1">
        <f>M36+($O$36-$G$36)/($O$10-$G$10)</f>
        <v>3.7798010000000013</v>
      </c>
      <c r="O36" s="252">
        <f>'Input data'!$C$52</f>
        <v>3.8461500000000002</v>
      </c>
      <c r="P36" s="1">
        <f>'Baseline NFPC'!P36</f>
        <v>3.8538425000000003</v>
      </c>
      <c r="Q36" s="1">
        <f>'Baseline NFPC'!Q36</f>
        <v>3.8615349999999999</v>
      </c>
      <c r="R36" s="1">
        <f>'Baseline NFPC'!R36</f>
        <v>3.8692275</v>
      </c>
      <c r="S36" s="1">
        <f>'Baseline NFPC'!S36</f>
        <v>3.8769200000000001</v>
      </c>
      <c r="T36" s="1">
        <f>'Baseline NFPC'!T36</f>
        <v>3.8846125000000002</v>
      </c>
      <c r="U36" s="1">
        <f>'Baseline NFPC'!U36</f>
        <v>3.8923050000000003</v>
      </c>
      <c r="V36" s="1">
        <f>'Baseline NFPC'!V36</f>
        <v>3.8999975</v>
      </c>
      <c r="W36" s="1">
        <f>'Baseline NFPC'!W36</f>
        <v>3.9076900000000001</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N37" si="9">H37+($O$37-$G$37)/($O$10-$G$10)</f>
        <v>2.7938037499999995</v>
      </c>
      <c r="J37" s="1">
        <f t="shared" si="9"/>
        <v>2.7825181249999993</v>
      </c>
      <c r="K37" s="1">
        <f t="shared" si="9"/>
        <v>2.7712324999999991</v>
      </c>
      <c r="L37" s="1">
        <f t="shared" si="9"/>
        <v>2.7599468749999989</v>
      </c>
      <c r="M37" s="1">
        <f t="shared" si="9"/>
        <v>2.7486612499999987</v>
      </c>
      <c r="N37" s="1">
        <f t="shared" si="9"/>
        <v>2.7373756249999985</v>
      </c>
      <c r="O37" s="252">
        <f>'Input data'!$C$53</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3.8019160000000003E-2</v>
      </c>
      <c r="D38" s="34">
        <f>'Baseline NFPC'!D38</f>
        <v>7.8597440000000005E-2</v>
      </c>
      <c r="E38" s="34">
        <f>'Baseline NFPC'!E38</f>
        <v>5.9475470000000003E-2</v>
      </c>
      <c r="F38" s="34">
        <f>'Baseline NFPC'!F38</f>
        <v>9.6876959999999998E-2</v>
      </c>
      <c r="G38" s="34">
        <f>'Baseline NFPC'!G38</f>
        <v>0.11684023</v>
      </c>
      <c r="H38" s="34">
        <f>'Baseline NFPC'!H38</f>
        <v>0.13811532000000001</v>
      </c>
      <c r="I38" s="34">
        <f>'Baseline NFPC'!I38</f>
        <v>0.13659083</v>
      </c>
      <c r="J38" s="34">
        <f>'Baseline NFPC'!J38</f>
        <v>0.14219135999999999</v>
      </c>
      <c r="K38" s="34">
        <f>'Baseline NFPC'!K38</f>
        <v>0.1389396</v>
      </c>
      <c r="L38" s="34">
        <f>'Baseline NFPC'!L38</f>
        <v>0.12512538000000001</v>
      </c>
      <c r="M38" s="34">
        <f>'Baseline NFPC'!M38</f>
        <v>0.12849179999999999</v>
      </c>
      <c r="N38" s="34">
        <f>'Baseline NFPC'!N38</f>
        <v>7.2085140000000006E-2</v>
      </c>
      <c r="O38" s="34">
        <f>'Baseline NFPC'!O38</f>
        <v>6.8681389999999995E-2</v>
      </c>
      <c r="P38" s="34">
        <f>'Baseline NFPC'!P38</f>
        <v>6.8049499999999999E-2</v>
      </c>
      <c r="Q38" s="34">
        <f>'Baseline NFPC'!Q38</f>
        <v>6.8080779999999994E-2</v>
      </c>
      <c r="R38" s="34">
        <f>'Baseline NFPC'!R38</f>
        <v>6.7666320000000002E-2</v>
      </c>
      <c r="S38" s="34">
        <f>'Baseline NFPC'!S38</f>
        <v>6.9220519999999994E-2</v>
      </c>
      <c r="T38" s="34">
        <f>'Baseline NFPC'!T38</f>
        <v>6.6629789999999994E-2</v>
      </c>
      <c r="U38" s="34">
        <f>'Baseline NFPC'!U38</f>
        <v>6.6434309999999996E-2</v>
      </c>
      <c r="V38" s="34">
        <f>'Baseline NFPC'!V38</f>
        <v>6.6393380000000002E-2</v>
      </c>
      <c r="W38" s="34">
        <f>'Baseline NFPC'!W38</f>
        <v>6.621254E-2</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2.685441</v>
      </c>
      <c r="D41" s="2">
        <f>'Input data'!D42</f>
        <v>6.0659559999999999</v>
      </c>
      <c r="E41" s="2">
        <f>'Input data'!E42</f>
        <v>4.7312440000000002</v>
      </c>
      <c r="F41" s="2">
        <f>'Input data'!F42</f>
        <v>3.7133859999999999</v>
      </c>
      <c r="G41" s="2">
        <f>'Input data'!G42</f>
        <v>2.3751250000000002</v>
      </c>
      <c r="H41" s="1">
        <f>'Baseline NFPC'!H41</f>
        <v>2.3969843750000002</v>
      </c>
      <c r="I41" s="1">
        <f>'Baseline NFPC'!I41</f>
        <v>2.4188437500000002</v>
      </c>
      <c r="J41" s="1">
        <f>'Baseline NFPC'!J41</f>
        <v>2.4407031250000002</v>
      </c>
      <c r="K41" s="1">
        <f>'Baseline NFPC'!K41</f>
        <v>2.4625624999999998</v>
      </c>
      <c r="L41" s="1">
        <f>'Baseline NFPC'!L41</f>
        <v>2.4844218749999998</v>
      </c>
      <c r="M41" s="1">
        <f>'Baseline NFPC'!M41</f>
        <v>2.5062812499999998</v>
      </c>
      <c r="N41" s="1">
        <f>'Baseline NFPC'!N41</f>
        <v>2.5281406249999998</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v>
      </c>
      <c r="D42" s="1">
        <f>'Baseline NFPC'!D42</f>
        <v>1</v>
      </c>
      <c r="E42" s="1">
        <f>'Baseline NFPC'!E42</f>
        <v>1</v>
      </c>
      <c r="F42" s="1">
        <f>'Baseline NFPC'!F42</f>
        <v>1</v>
      </c>
      <c r="G42" s="1">
        <f>'Baseline NFPC'!G42</f>
        <v>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257</v>
      </c>
      <c r="C47" s="57">
        <f>'Input data'!C50</f>
        <v>0.504</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4</v>
      </c>
      <c r="L49" s="34">
        <f>IF(AND(ABS((L12-K12)-('Input data'!L13-'Input data'!K13))&gt;0.0001,ABS(L12-K12)&gt;0.0001,L$10&gt;$C$5),4,IF(K49=4,3,IF(K49=3,2,IF(K49=2,1,0))))</f>
        <v>4</v>
      </c>
      <c r="M49" s="34">
        <f>IF(AND(ABS((M12-L12)-('Input data'!M13-'Input data'!L13))&gt;0.0001,ABS(M12-L12)&gt;0.0001,M$10&gt;$C$5),4,IF(L49=4,3,IF(L49=3,2,IF(L49=2,1,0))))</f>
        <v>3</v>
      </c>
      <c r="N49" s="34">
        <f>IF(AND(ABS((N12-M12)-('Input data'!N13-'Input data'!M13))&gt;0.0001,ABS(N12-M12)&gt;0.0001,N$10&gt;$C$5),4,IF(M49=4,3,IF(M49=3,2,IF(M49=2,1,0))))</f>
        <v>2</v>
      </c>
      <c r="O49" s="34">
        <f>IF(AND(ABS((O12-N12)-('Input data'!O13-'Input data'!N13))&gt;0.0001,ABS(O12-N12)&gt;0.0001,O$10&gt;$C$5),4,IF(N49=4,3,IF(N49=3,2,IF(N49=2,1,0))))</f>
        <v>1</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v>
      </c>
      <c r="I50" s="34">
        <f t="shared" si="10"/>
        <v>0</v>
      </c>
      <c r="J50" s="34">
        <f t="shared" si="10"/>
        <v>0</v>
      </c>
      <c r="K50" s="34">
        <f t="shared" si="10"/>
        <v>0</v>
      </c>
      <c r="L50" s="34">
        <f t="shared" si="10"/>
        <v>0.12294826880392407</v>
      </c>
      <c r="M50" s="34">
        <f t="shared" si="10"/>
        <v>0.20525170145175112</v>
      </c>
      <c r="N50" s="34">
        <f t="shared" si="10"/>
        <v>0.10262585072587556</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5.0579340000000004</v>
      </c>
      <c r="E51" s="34">
        <f>'Input data'!E30-$C$46*((E12-D12)-('Input data'!E13-'Input data'!D13))</f>
        <v>2.4612370000000001</v>
      </c>
      <c r="F51" s="34">
        <f>'Input data'!F30-$C$46*((F12-E12)-('Input data'!F13-'Input data'!E13))</f>
        <v>2.7786170000000001</v>
      </c>
      <c r="G51" s="34">
        <f>'Input data'!G30-$C$46*((G12-F12))</f>
        <v>3.0115460000000001</v>
      </c>
      <c r="H51" s="34">
        <f>'Input data'!H30-$C$46*((H12-G12))</f>
        <v>2.198547</v>
      </c>
      <c r="I51" s="34">
        <f>'Input data'!I30-$C$46*((I12-H12))</f>
        <v>1.541577</v>
      </c>
      <c r="J51" s="34">
        <f>'Input data'!J30-$C$46*((J12-I12))</f>
        <v>1.5989310000000001</v>
      </c>
      <c r="K51" s="34">
        <f>'Input data'!K30-$C$46*((K12-J12))</f>
        <v>1.8505259999999999</v>
      </c>
      <c r="L51" s="34">
        <f>'Input data'!L30-$C$46*((L12-K12))</f>
        <v>1.7645960000000001</v>
      </c>
      <c r="M51" s="34">
        <f>'Input data'!M30-$C$46*((M12-L12))</f>
        <v>1.5250999999999999</v>
      </c>
      <c r="N51" s="34">
        <f>'Input data'!N30-$C$46*((N12-M12))</f>
        <v>1.499671</v>
      </c>
      <c r="O51" s="34">
        <f>'Input data'!O30-$C$46*((O12-N12))</f>
        <v>1.472451</v>
      </c>
      <c r="P51" s="34">
        <f>'Input data'!P30-$C$46*((P12-O12))</f>
        <v>1.5369170000000001</v>
      </c>
      <c r="Q51" s="34">
        <f>'Input data'!Q30-$C$46*((Q12-P12))</f>
        <v>1.6013869999999999</v>
      </c>
      <c r="R51" s="34">
        <f>'Input data'!R30-$C$46*((R12-Q12))</f>
        <v>1.6658569999999999</v>
      </c>
      <c r="S51" s="34">
        <f>'Input data'!S30-$C$46*((S12-R12))</f>
        <v>1.7527699999999999</v>
      </c>
      <c r="T51" s="34">
        <f>'Input data'!T30-$C$46*((T12-S12))</f>
        <v>1.806942</v>
      </c>
      <c r="U51" s="34">
        <f>'Input data'!U30-$C$46*((U12-T12))</f>
        <v>1.8724879999999999</v>
      </c>
      <c r="V51" s="34">
        <f>'Input data'!V30-$C$46*((V12-U12))</f>
        <v>1.942307</v>
      </c>
      <c r="W51" s="34">
        <f>'Input data'!W30-$C$46*((W12-V12))</f>
        <v>1.9095040000000001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99.250230000000002</v>
      </c>
      <c r="D56" s="45">
        <f t="shared" ref="D56:T56" si="11">+C56+D57</f>
        <v>85.595287844886869</v>
      </c>
      <c r="E56" s="45">
        <f t="shared" si="11"/>
        <v>77.284440321959977</v>
      </c>
      <c r="F56" s="45">
        <f t="shared" si="11"/>
        <v>70.579945075187567</v>
      </c>
      <c r="G56" s="45">
        <f t="shared" si="11"/>
        <v>65.467738950078513</v>
      </c>
      <c r="H56" s="45">
        <f t="shared" si="11"/>
        <v>59.99104804318636</v>
      </c>
      <c r="I56" s="45">
        <f t="shared" si="11"/>
        <v>55.344336413083951</v>
      </c>
      <c r="J56" s="45">
        <f t="shared" si="11"/>
        <v>50.929639670376446</v>
      </c>
      <c r="K56" s="45">
        <f t="shared" si="11"/>
        <v>46.561514451744912</v>
      </c>
      <c r="L56" s="45">
        <f t="shared" si="11"/>
        <v>42.813150325105646</v>
      </c>
      <c r="M56" s="45">
        <f t="shared" si="11"/>
        <v>39.568885298384252</v>
      </c>
      <c r="N56" s="45">
        <f t="shared" si="11"/>
        <v>36.65425959216202</v>
      </c>
      <c r="O56" s="46">
        <f t="shared" si="11"/>
        <v>34.076708532842318</v>
      </c>
      <c r="P56" s="46">
        <f t="shared" si="11"/>
        <v>31.649507138256368</v>
      </c>
      <c r="Q56" s="46">
        <f t="shared" si="11"/>
        <v>29.467806872084694</v>
      </c>
      <c r="R56" s="46">
        <f t="shared" si="11"/>
        <v>27.46136270414971</v>
      </c>
      <c r="S56" s="46">
        <f t="shared" si="11"/>
        <v>25.589387189323805</v>
      </c>
      <c r="T56" s="46">
        <f t="shared" si="11"/>
        <v>23.851735531335326</v>
      </c>
      <c r="U56" s="46">
        <f t="shared" ref="U56" si="12">+T56+U57</f>
        <v>21.936060365036866</v>
      </c>
      <c r="V56" s="46">
        <f t="shared" ref="V56" si="13">+U56+V57</f>
        <v>20.229094672456554</v>
      </c>
      <c r="W56" s="46">
        <f t="shared" ref="W56" si="14">+V56+W57</f>
        <v>18.579268429221493</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 t="shared" ref="D57:T57" si="15">-D58+D66+D71</f>
        <v>-13.654942155113138</v>
      </c>
      <c r="E57" s="47">
        <f t="shared" si="15"/>
        <v>-8.3108475229268937</v>
      </c>
      <c r="F57" s="47">
        <f t="shared" si="15"/>
        <v>-6.7044952467724048</v>
      </c>
      <c r="G57" s="47">
        <f t="shared" si="15"/>
        <v>-5.1122061251090507</v>
      </c>
      <c r="H57" s="47">
        <f t="shared" si="15"/>
        <v>-5.4766909068921494</v>
      </c>
      <c r="I57" s="47">
        <f t="shared" si="15"/>
        <v>-4.6467116301024092</v>
      </c>
      <c r="J57" s="47">
        <f t="shared" si="15"/>
        <v>-4.4146967427075072</v>
      </c>
      <c r="K57" s="47">
        <f t="shared" si="15"/>
        <v>-4.3681252186315334</v>
      </c>
      <c r="L57" s="47">
        <f t="shared" si="15"/>
        <v>-3.7483641266392649</v>
      </c>
      <c r="M57" s="47">
        <f t="shared" si="15"/>
        <v>-3.2442650267213908</v>
      </c>
      <c r="N57" s="47">
        <f t="shared" si="15"/>
        <v>-2.9146257062222354</v>
      </c>
      <c r="O57" s="47">
        <f t="shared" si="15"/>
        <v>-2.5775510593197004</v>
      </c>
      <c r="P57" s="47">
        <f t="shared" si="15"/>
        <v>-2.4272013945859481</v>
      </c>
      <c r="Q57" s="47">
        <f t="shared" si="15"/>
        <v>-2.1817002661716751</v>
      </c>
      <c r="R57" s="47">
        <f t="shared" si="15"/>
        <v>-2.0064441679349825</v>
      </c>
      <c r="S57" s="47">
        <f t="shared" si="15"/>
        <v>-1.8719755148259067</v>
      </c>
      <c r="T57" s="47">
        <f t="shared" si="15"/>
        <v>-1.7376516579884782</v>
      </c>
      <c r="U57" s="47">
        <f t="shared" ref="U57:W57" si="16">-U58+U66+U71</f>
        <v>-1.9156751662984592</v>
      </c>
      <c r="V57" s="47">
        <f t="shared" si="16"/>
        <v>-1.7069656925803103</v>
      </c>
      <c r="W57" s="47">
        <f t="shared" si="16"/>
        <v>-1.6498262432350601</v>
      </c>
    </row>
    <row r="58" spans="2:48" outlineLevel="1" x14ac:dyDescent="0.2">
      <c r="B58" s="84" t="s">
        <v>106</v>
      </c>
      <c r="C58" s="48"/>
      <c r="D58" s="48">
        <f t="shared" ref="D58:T58" si="17">D59+D60-D61-D62-D63-D64-D65</f>
        <v>4.1969893551131312</v>
      </c>
      <c r="E58" s="48">
        <f t="shared" si="17"/>
        <v>4.5240515229268894</v>
      </c>
      <c r="F58" s="48">
        <f t="shared" si="17"/>
        <v>4.2972697467724092</v>
      </c>
      <c r="G58" s="48">
        <f t="shared" si="17"/>
        <v>4.0366541251090524</v>
      </c>
      <c r="H58" s="48">
        <f t="shared" si="17"/>
        <v>3.8519046672059583</v>
      </c>
      <c r="I58" s="48">
        <f t="shared" si="17"/>
        <v>3.6055675238428302</v>
      </c>
      <c r="J58" s="48">
        <f t="shared" si="17"/>
        <v>3.4823997525488415</v>
      </c>
      <c r="K58" s="48">
        <f t="shared" si="17"/>
        <v>3.4399161912157656</v>
      </c>
      <c r="L58" s="48">
        <f t="shared" si="17"/>
        <v>3.008609886297521</v>
      </c>
      <c r="M58" s="48">
        <f t="shared" si="17"/>
        <v>2.7128188575316732</v>
      </c>
      <c r="N58" s="48">
        <f t="shared" si="17"/>
        <v>2.4641877287658347</v>
      </c>
      <c r="O58" s="48">
        <f t="shared" si="17"/>
        <v>2.1761865999999981</v>
      </c>
      <c r="P58" s="48">
        <f t="shared" si="17"/>
        <v>2.0195579072576448</v>
      </c>
      <c r="Q58" s="48">
        <f t="shared" si="17"/>
        <v>1.8027187190890697</v>
      </c>
      <c r="R58" s="48">
        <f t="shared" si="17"/>
        <v>1.6537095318642363</v>
      </c>
      <c r="S58" s="48">
        <f t="shared" si="17"/>
        <v>1.5372804459097502</v>
      </c>
      <c r="T58" s="48">
        <f t="shared" si="17"/>
        <v>1.4285232409643651</v>
      </c>
      <c r="U58" s="48">
        <f t="shared" ref="U58:W58" si="18">U59+U60-U61-U62-U63-U64-U65</f>
        <v>1.6267475199087476</v>
      </c>
      <c r="V58" s="48">
        <f t="shared" si="18"/>
        <v>1.4370698199087539</v>
      </c>
      <c r="W58" s="48">
        <f t="shared" si="18"/>
        <v>1.4176216253523595</v>
      </c>
    </row>
    <row r="59" spans="2:48" outlineLevel="1" x14ac:dyDescent="0.2">
      <c r="B59" s="79" t="s">
        <v>107</v>
      </c>
      <c r="C59" s="1"/>
      <c r="D59" s="1">
        <f>D12</f>
        <v>2.087558</v>
      </c>
      <c r="E59" s="1">
        <f>E12</f>
        <v>3.2270470000000002</v>
      </c>
      <c r="F59" s="1">
        <f>F12</f>
        <v>3.482405</v>
      </c>
      <c r="G59" s="1">
        <f t="shared" ref="G59:W59" si="19">IF(G12="",F59,G12)</f>
        <v>3.482405</v>
      </c>
      <c r="H59" s="1">
        <f t="shared" si="19"/>
        <v>3.482405</v>
      </c>
      <c r="I59" s="1">
        <f t="shared" si="19"/>
        <v>3.482405</v>
      </c>
      <c r="J59" s="1">
        <f t="shared" si="19"/>
        <v>3.482405</v>
      </c>
      <c r="K59" s="1">
        <f t="shared" si="19"/>
        <v>3.232405</v>
      </c>
      <c r="L59" s="1">
        <f t="shared" si="19"/>
        <v>2.982405</v>
      </c>
      <c r="M59" s="1">
        <f t="shared" si="19"/>
        <v>2.982405</v>
      </c>
      <c r="N59" s="1">
        <f t="shared" si="19"/>
        <v>2.982405</v>
      </c>
      <c r="O59" s="1">
        <f t="shared" si="19"/>
        <v>2.982405</v>
      </c>
      <c r="P59" s="1">
        <f t="shared" si="19"/>
        <v>2.982405</v>
      </c>
      <c r="Q59" s="1">
        <f t="shared" si="19"/>
        <v>2.982405</v>
      </c>
      <c r="R59" s="1">
        <f t="shared" si="19"/>
        <v>2.982405</v>
      </c>
      <c r="S59" s="1">
        <f t="shared" si="19"/>
        <v>2.982405</v>
      </c>
      <c r="T59" s="1">
        <f t="shared" si="19"/>
        <v>2.982405</v>
      </c>
      <c r="U59" s="1">
        <f t="shared" si="19"/>
        <v>2.982405</v>
      </c>
      <c r="V59" s="1">
        <f t="shared" si="19"/>
        <v>2.982405</v>
      </c>
      <c r="W59" s="1">
        <f t="shared" si="19"/>
        <v>2.982405</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-2.1094313551131312</v>
      </c>
      <c r="E61" s="1">
        <f t="shared" si="20"/>
        <v>-1.2970045229268887</v>
      </c>
      <c r="F61" s="1">
        <f t="shared" si="20"/>
        <v>-0.81486474677240894</v>
      </c>
      <c r="G61" s="1">
        <f t="shared" si="20"/>
        <v>-0.55424912510905266</v>
      </c>
      <c r="H61" s="1">
        <f t="shared" si="20"/>
        <v>-0.36949966720595828</v>
      </c>
      <c r="I61" s="1">
        <f t="shared" si="20"/>
        <v>-0.12316252384283022</v>
      </c>
      <c r="J61" s="1">
        <f t="shared" si="20"/>
        <v>5.2474511583966429E-6</v>
      </c>
      <c r="K61" s="1">
        <f t="shared" si="20"/>
        <v>-9.2948891215766591E-2</v>
      </c>
      <c r="L61" s="1">
        <f t="shared" si="20"/>
        <v>-0.15517028629752386</v>
      </c>
      <c r="M61" s="1">
        <f t="shared" si="20"/>
        <v>-0.10344685753167511</v>
      </c>
      <c r="N61" s="1">
        <f t="shared" si="20"/>
        <v>-5.1723428765837555E-2</v>
      </c>
      <c r="O61" s="1">
        <f t="shared" si="20"/>
        <v>0</v>
      </c>
      <c r="P61" s="1">
        <f t="shared" si="20"/>
        <v>9.9274234832691377E-7</v>
      </c>
      <c r="Q61" s="1">
        <f t="shared" si="20"/>
        <v>2.4809109238965731E-6</v>
      </c>
      <c r="R61" s="1">
        <f t="shared" si="20"/>
        <v>3.9681357583809527E-6</v>
      </c>
      <c r="S61" s="1">
        <f t="shared" si="20"/>
        <v>5.4540902410415983E-6</v>
      </c>
      <c r="T61" s="1">
        <f t="shared" si="20"/>
        <v>4.9590356349327177E-6</v>
      </c>
      <c r="U61" s="1">
        <f t="shared" si="20"/>
        <v>2.9800912497712773E-6</v>
      </c>
      <c r="V61" s="1">
        <f t="shared" si="20"/>
        <v>2.9800912385802293E-6</v>
      </c>
      <c r="W61" s="1">
        <f t="shared" si="20"/>
        <v>3.4746476360147936E-6</v>
      </c>
    </row>
    <row r="62" spans="2:48" outlineLevel="1" x14ac:dyDescent="0.2">
      <c r="B62" s="79" t="s">
        <v>110</v>
      </c>
      <c r="C62" s="1"/>
      <c r="D62" s="1">
        <f t="shared" ref="D62:W62" si="21">-D13</f>
        <v>0</v>
      </c>
      <c r="E62" s="1">
        <f t="shared" si="21"/>
        <v>0</v>
      </c>
      <c r="F62" s="1">
        <f t="shared" si="21"/>
        <v>0</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-0.12070999999999898</v>
      </c>
      <c r="L63" s="1">
        <f>IF(L$55&lt;=$C$6,0,HLOOKUP(L$55,'Input data'!$C$9:$BB$26,12,FALSE)-HLOOKUP($C$6,'Input data'!$C$9:$BB$26,12,FALSE))</f>
        <v>0.11667000000000272</v>
      </c>
      <c r="M63" s="1">
        <f>IF(M$55&lt;=$C$6,0,HLOOKUP(M$55,'Input data'!$C$9:$BB$26,12,FALSE)-HLOOKUP($C$6,'Input data'!$C$9:$BB$26,12,FALSE))</f>
        <v>0.35459000000000174</v>
      </c>
      <c r="N63" s="1">
        <f>IF(N$55&lt;=$C$6,0,HLOOKUP(N$55,'Input data'!$C$9:$BB$26,12,FALSE)-HLOOKUP($C$6,'Input data'!$C$9:$BB$26,12,FALSE))</f>
        <v>0.54535000000000267</v>
      </c>
      <c r="O63" s="1">
        <f>IF(O$55&lt;=$C$6,0,HLOOKUP(O$55,'Input data'!$C$9:$BB$26,12,FALSE)-HLOOKUP($C$6,'Input data'!$C$9:$BB$26,12,FALSE))</f>
        <v>0.77548000000000172</v>
      </c>
      <c r="P63" s="1">
        <f>IF(P$55&lt;=$C$6,0,HLOOKUP(P$55,'Input data'!$C$9:$BB$26,12,FALSE)-HLOOKUP($C$6,'Input data'!$C$9:$BB$26,12,FALSE))</f>
        <v>0.925960000000007</v>
      </c>
      <c r="Q63" s="1">
        <f>IF(Q$55&lt;=$C$6,0,HLOOKUP(Q$55,'Input data'!$C$9:$BB$26,12,FALSE)-HLOOKUP($C$6,'Input data'!$C$9:$BB$26,12,FALSE))</f>
        <v>1.1366500000000066</v>
      </c>
      <c r="R63" s="1">
        <f>IF(R$55&lt;=$C$6,0,HLOOKUP(R$55,'Input data'!$C$9:$BB$26,12,FALSE)-HLOOKUP($C$6,'Input data'!$C$9:$BB$26,12,FALSE))</f>
        <v>1.2795100000000055</v>
      </c>
      <c r="S63" s="1">
        <f>IF(S$55&lt;=$C$6,0,HLOOKUP(S$55,'Input data'!$C$9:$BB$26,12,FALSE)-HLOOKUP($C$6,'Input data'!$C$9:$BB$26,12,FALSE))</f>
        <v>1.3897900000000085</v>
      </c>
      <c r="T63" s="1">
        <f>IF(T$55&lt;=$C$6,0,HLOOKUP(T$55,'Input data'!$C$9:$BB$26,12,FALSE)-HLOOKUP($C$6,'Input data'!$C$9:$BB$26,12,FALSE))</f>
        <v>1.4923999999999999</v>
      </c>
      <c r="U63" s="1">
        <f>IF(U$55&lt;=$C$6,0,HLOOKUP(U$55,'Input data'!$C$9:$BB$26,12,FALSE)-HLOOKUP($C$6,'Input data'!$C$9:$BB$26,12,FALSE))</f>
        <v>1.2880300000000027</v>
      </c>
      <c r="V63" s="1">
        <f>IF(V$55&lt;=$C$6,0,HLOOKUP(V$55,'Input data'!$C$9:$BB$26,12,FALSE)-HLOOKUP($C$6,'Input data'!$C$9:$BB$26,12,FALSE))</f>
        <v>1.4715600000000073</v>
      </c>
      <c r="W63" s="1">
        <f>IF(W$55&lt;=$C$6,0,HLOOKUP(W$55,'Input data'!$C$9:$BB$26,12,FALSE)-HLOOKUP($C$6,'Input data'!$C$9:$BB$26,12,FALSE))</f>
        <v>1.4848600000000047</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6.1476999999999782E-3</v>
      </c>
      <c r="L64" s="1">
        <f>IF(L$55&lt;=$C$6,0,-HLOOKUP(L$55,'Input data'!$C$9:$BB$26,18,FALSE)+HLOOKUP($C$6,'Input data'!$C$9:$BB$26,18,FALSE))</f>
        <v>1.2295400000000012E-2</v>
      </c>
      <c r="M64" s="1">
        <f>IF(M$55&lt;=$C$6,0,-HLOOKUP(M$55,'Input data'!$C$9:$BB$26,18,FALSE)+HLOOKUP($C$6,'Input data'!$C$9:$BB$26,18,FALSE))</f>
        <v>1.8442999999999987E-2</v>
      </c>
      <c r="N64" s="1">
        <f>IF(N$55&lt;=$C$6,0,-HLOOKUP(N$55,'Input data'!$C$9:$BB$26,18,FALSE)+HLOOKUP($C$6,'Input data'!$C$9:$BB$26,18,FALSE))</f>
        <v>2.4590700000000021E-2</v>
      </c>
      <c r="O64" s="1">
        <f>IF(O$55&lt;=$C$6,0,-HLOOKUP(O$55,'Input data'!$C$9:$BB$26,18,FALSE)+HLOOKUP($C$6,'Input data'!$C$9:$BB$26,18,FALSE))</f>
        <v>3.0738399999999999E-2</v>
      </c>
      <c r="P64" s="1">
        <f>IF(P$55&lt;=$C$6,0,-HLOOKUP(P$55,'Input data'!$C$9:$BB$26,18,FALSE)+HLOOKUP($C$6,'Input data'!$C$9:$BB$26,18,FALSE))</f>
        <v>3.6886100000000033E-2</v>
      </c>
      <c r="Q64" s="1">
        <f>IF(Q$55&lt;=$C$6,0,-HLOOKUP(Q$55,'Input data'!$C$9:$BB$26,18,FALSE)+HLOOKUP($C$6,'Input data'!$C$9:$BB$26,18,FALSE))</f>
        <v>4.3033800000000011E-2</v>
      </c>
      <c r="R64" s="1">
        <f>IF(R$55&lt;=$C$6,0,-HLOOKUP(R$55,'Input data'!$C$9:$BB$26,18,FALSE)+HLOOKUP($C$6,'Input data'!$C$9:$BB$26,18,FALSE))</f>
        <v>4.9181499999999989E-2</v>
      </c>
      <c r="S64" s="1">
        <f>IF(S$55&lt;=$C$6,0,-HLOOKUP(S$55,'Input data'!$C$9:$BB$26,18,FALSE)+HLOOKUP($C$6,'Input data'!$C$9:$BB$26,18,FALSE))</f>
        <v>5.532910000000002E-2</v>
      </c>
      <c r="T64" s="1">
        <f>IF(T$55&lt;=$C$6,0,-HLOOKUP(T$55,'Input data'!$C$9:$BB$26,18,FALSE)+HLOOKUP($C$6,'Input data'!$C$9:$BB$26,18,FALSE))</f>
        <v>6.1476799999999998E-2</v>
      </c>
      <c r="U64" s="1">
        <f>IF(U$55&lt;=$C$6,0,-HLOOKUP(U$55,'Input data'!$C$9:$BB$26,18,FALSE)+HLOOKUP($C$6,'Input data'!$C$9:$BB$26,18,FALSE))</f>
        <v>6.7624500000000032E-2</v>
      </c>
      <c r="V64" s="1">
        <f>IF(V$55&lt;=$C$6,0,-HLOOKUP(V$55,'Input data'!$C$9:$BB$26,18,FALSE)+HLOOKUP($C$6,'Input data'!$C$9:$BB$26,18,FALSE))</f>
        <v>7.377220000000001E-2</v>
      </c>
      <c r="W64" s="1">
        <f>IF(W$55&lt;=$C$6,0,-HLOOKUP(W$55,'Input data'!$C$9:$BB$26,18,FALSE)+HLOOKUP($C$6,'Input data'!$C$9:$BB$26,18,FALSE))</f>
        <v>7.9919899999999988E-2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-8.7130920000000067</v>
      </c>
      <c r="E66" s="48">
        <f t="shared" si="22"/>
        <v>-4.3880540000000039</v>
      </c>
      <c r="F66" s="48">
        <f t="shared" si="22"/>
        <v>-3.3985389999999955</v>
      </c>
      <c r="G66" s="48">
        <f t="shared" si="22"/>
        <v>-2.376224999999998</v>
      </c>
      <c r="H66" s="48">
        <f t="shared" si="22"/>
        <v>-1.624786239686191</v>
      </c>
      <c r="I66" s="48">
        <f t="shared" si="22"/>
        <v>-1.0411441062595792</v>
      </c>
      <c r="J66" s="48">
        <f t="shared" si="22"/>
        <v>-0.93229699015866596</v>
      </c>
      <c r="K66" s="48">
        <f t="shared" si="22"/>
        <v>-0.92820902741576727</v>
      </c>
      <c r="L66" s="48">
        <f t="shared" si="22"/>
        <v>-0.73975424034174386</v>
      </c>
      <c r="M66" s="48">
        <f t="shared" si="22"/>
        <v>-0.53144616918971777</v>
      </c>
      <c r="N66" s="48">
        <f t="shared" si="22"/>
        <v>-0.45043797745640046</v>
      </c>
      <c r="O66" s="48">
        <f t="shared" si="22"/>
        <v>-0.40136445931970222</v>
      </c>
      <c r="P66" s="48">
        <f t="shared" si="22"/>
        <v>-0.40764348732830324</v>
      </c>
      <c r="Q66" s="48">
        <f t="shared" si="22"/>
        <v>-0.37898154708260567</v>
      </c>
      <c r="R66" s="48">
        <f t="shared" si="22"/>
        <v>-0.35273463607074618</v>
      </c>
      <c r="S66" s="48">
        <f t="shared" si="22"/>
        <v>-0.33469506891615647</v>
      </c>
      <c r="T66" s="48">
        <f t="shared" si="22"/>
        <v>-0.30912841702411314</v>
      </c>
      <c r="U66" s="48">
        <f t="shared" ref="U66:W66" si="23">SUM(U67:U70)</f>
        <v>-0.28892764638971158</v>
      </c>
      <c r="V66" s="48">
        <f t="shared" si="23"/>
        <v>-0.26989587267155646</v>
      </c>
      <c r="W66" s="48">
        <f t="shared" si="23"/>
        <v>-0.23220461788270075</v>
      </c>
    </row>
    <row r="67" spans="2:23" outlineLevel="1" x14ac:dyDescent="0.2">
      <c r="B67" s="79" t="s">
        <v>115</v>
      </c>
      <c r="C67" s="34"/>
      <c r="D67" s="34">
        <f>C56*D35/100*(1/(1+D32/100))</f>
        <v>1.4681210303537406</v>
      </c>
      <c r="E67" s="34">
        <f t="shared" ref="E67:W67" si="24">D56*E35/100*(1/(1+E32/100))</f>
        <v>1.4419332710000843</v>
      </c>
      <c r="F67" s="34">
        <f t="shared" si="24"/>
        <v>1.3831494751458222</v>
      </c>
      <c r="G67" s="34">
        <f t="shared" si="24"/>
        <v>1.2767786110391002</v>
      </c>
      <c r="H67" s="34">
        <f t="shared" si="24"/>
        <v>1.2831379643233658</v>
      </c>
      <c r="I67" s="34">
        <f t="shared" si="24"/>
        <v>1.2649332113743252</v>
      </c>
      <c r="J67" s="34">
        <f t="shared" si="24"/>
        <v>1.2365500441397026</v>
      </c>
      <c r="K67" s="34">
        <f t="shared" si="24"/>
        <v>1.1989256787798515</v>
      </c>
      <c r="L67" s="34">
        <f t="shared" si="24"/>
        <v>1.1494290984002773</v>
      </c>
      <c r="M67" s="34">
        <f t="shared" si="24"/>
        <v>1.10061398590461</v>
      </c>
      <c r="N67" s="34">
        <f t="shared" si="24"/>
        <v>1.0564911553052512</v>
      </c>
      <c r="O67" s="34">
        <f t="shared" si="24"/>
        <v>0.99258609016211607</v>
      </c>
      <c r="P67" s="34">
        <f t="shared" si="24"/>
        <v>0.93390420342834168</v>
      </c>
      <c r="Q67" s="34">
        <f t="shared" si="24"/>
        <v>0.87815089252274314</v>
      </c>
      <c r="R67" s="34">
        <f t="shared" si="24"/>
        <v>0.82809450628008308</v>
      </c>
      <c r="S67" s="34">
        <f t="shared" si="24"/>
        <v>0.78117804540371438</v>
      </c>
      <c r="T67" s="34">
        <f t="shared" si="24"/>
        <v>0.73715265804641039</v>
      </c>
      <c r="U67" s="34">
        <f t="shared" si="24"/>
        <v>0.6948840173780364</v>
      </c>
      <c r="V67" s="34">
        <f t="shared" si="24"/>
        <v>0.64365753533296743</v>
      </c>
      <c r="W67" s="34">
        <f t="shared" si="24"/>
        <v>0.59880831970719939</v>
      </c>
    </row>
    <row r="68" spans="2:23" outlineLevel="1" x14ac:dyDescent="0.2">
      <c r="B68" s="79" t="s">
        <v>116</v>
      </c>
      <c r="C68" s="34"/>
      <c r="D68" s="34">
        <f t="shared" ref="D68:W68" si="25">-C56*(D23/100)*(1/(1+D32/100))</f>
        <v>-4.5050520510522558</v>
      </c>
      <c r="E68" s="34">
        <f t="shared" si="25"/>
        <v>-1.9632130629281312</v>
      </c>
      <c r="F68" s="34">
        <f t="shared" si="25"/>
        <v>-2.0145737556775893</v>
      </c>
      <c r="G68" s="34">
        <f t="shared" si="25"/>
        <v>-2.0155355707128693</v>
      </c>
      <c r="H68" s="34">
        <f t="shared" si="25"/>
        <v>-1.3754069303052536</v>
      </c>
      <c r="I68" s="34">
        <f t="shared" si="25"/>
        <v>-0.88925824116184615</v>
      </c>
      <c r="J68" s="34">
        <f t="shared" si="25"/>
        <v>-0.85023938407910604</v>
      </c>
      <c r="K68" s="34">
        <f t="shared" si="25"/>
        <v>-0.90310304301345523</v>
      </c>
      <c r="L68" s="34">
        <f t="shared" si="25"/>
        <v>-0.76044159516135856</v>
      </c>
      <c r="M68" s="34">
        <f t="shared" si="25"/>
        <v>-0.58527751304775888</v>
      </c>
      <c r="N68" s="34">
        <f t="shared" si="25"/>
        <v>-0.53123889007311675</v>
      </c>
      <c r="O68" s="34">
        <f t="shared" si="25"/>
        <v>-0.48250869711699024</v>
      </c>
      <c r="P68" s="34">
        <f t="shared" si="25"/>
        <v>-0.50311225195935916</v>
      </c>
      <c r="Q68" s="34">
        <f t="shared" si="25"/>
        <v>-0.48669953741548955</v>
      </c>
      <c r="R68" s="34">
        <f t="shared" si="25"/>
        <v>-0.47122059859921062</v>
      </c>
      <c r="S68" s="34">
        <f t="shared" si="25"/>
        <v>-0.46177583788366144</v>
      </c>
      <c r="T68" s="34">
        <f t="shared" si="25"/>
        <v>-0.44347969248301061</v>
      </c>
      <c r="U68" s="34">
        <f t="shared" si="25"/>
        <v>-0.42819913026933754</v>
      </c>
      <c r="V68" s="34">
        <f t="shared" si="25"/>
        <v>-0.40832162420192597</v>
      </c>
      <c r="W68" s="34">
        <f t="shared" si="25"/>
        <v>-0.37040714665054936</v>
      </c>
    </row>
    <row r="69" spans="2:23" outlineLevel="1" x14ac:dyDescent="0.2">
      <c r="B69" s="79" t="s">
        <v>117</v>
      </c>
      <c r="C69" s="34"/>
      <c r="D69" s="34">
        <f t="shared" ref="D69:T69" si="26">-C56*D41/100*(1/(1+D41/100))</f>
        <v>-5.6761618041690971</v>
      </c>
      <c r="E69" s="34">
        <f t="shared" si="26"/>
        <v>-3.8667753439880266</v>
      </c>
      <c r="F69" s="34">
        <f t="shared" si="26"/>
        <v>-2.7671158929224595</v>
      </c>
      <c r="G69" s="34">
        <f t="shared" si="26"/>
        <v>-1.6374699620313513</v>
      </c>
      <c r="H69" s="34">
        <f t="shared" si="26"/>
        <v>-1.5325172737043031</v>
      </c>
      <c r="I69" s="34">
        <f t="shared" si="26"/>
        <v>-1.4168190764720583</v>
      </c>
      <c r="J69" s="34">
        <f t="shared" si="26"/>
        <v>-1.3186076502192625</v>
      </c>
      <c r="K69" s="34">
        <f t="shared" si="26"/>
        <v>-1.2240316631821635</v>
      </c>
      <c r="L69" s="34">
        <f t="shared" si="26"/>
        <v>-1.1287417435806626</v>
      </c>
      <c r="M69" s="34">
        <f t="shared" si="26"/>
        <v>-1.0467826420465689</v>
      </c>
      <c r="N69" s="34">
        <f t="shared" si="26"/>
        <v>-0.97569024268853488</v>
      </c>
      <c r="O69" s="34">
        <f t="shared" si="26"/>
        <v>-0.91144185236482811</v>
      </c>
      <c r="P69" s="34">
        <f t="shared" si="26"/>
        <v>-0.83843543879728577</v>
      </c>
      <c r="Q69" s="34">
        <f t="shared" si="26"/>
        <v>-0.77043290218985927</v>
      </c>
      <c r="R69" s="34">
        <f t="shared" si="26"/>
        <v>-0.70960854375161864</v>
      </c>
      <c r="S69" s="34">
        <f t="shared" si="26"/>
        <v>-0.65409727643620941</v>
      </c>
      <c r="T69" s="34">
        <f t="shared" si="26"/>
        <v>-0.60280138258751292</v>
      </c>
      <c r="U69" s="34">
        <f t="shared" ref="U69" si="27">-T56*U41/100*(1/(1+U41/100))</f>
        <v>-0.55561253349841044</v>
      </c>
      <c r="V69" s="34">
        <f t="shared" ref="V69" si="28">-U56*V41/100*(1/(1+V41/100))</f>
        <v>-0.50523178380259792</v>
      </c>
      <c r="W69" s="34">
        <f t="shared" ref="W69" si="29">-V56*W41/100*(1/(1+W41/100))</f>
        <v>-0.46060579093935078</v>
      </c>
    </row>
    <row r="70" spans="2:23" outlineLevel="1" x14ac:dyDescent="0.2">
      <c r="B70" s="79" t="s">
        <v>118</v>
      </c>
      <c r="C70" s="49"/>
      <c r="D70" s="49">
        <f>'Baseline NFPC'!D70</f>
        <v>8.24867605331292E-7</v>
      </c>
      <c r="E70" s="49">
        <f>'Baseline NFPC'!E70</f>
        <v>1.1359160696500226E-6</v>
      </c>
      <c r="F70" s="49">
        <f>'Baseline NFPC'!F70</f>
        <v>1.1734542311181428E-6</v>
      </c>
      <c r="G70" s="49">
        <f>'Baseline NFPC'!G70</f>
        <v>1.9217051221431802E-6</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-0.74486079999999999</v>
      </c>
      <c r="E71" s="50">
        <f>'Input data'!E16</f>
        <v>0.60125799999999996</v>
      </c>
      <c r="F71" s="50">
        <f>'Input data'!F16</f>
        <v>0.99131349999999996</v>
      </c>
      <c r="G71" s="50">
        <f>'Input data'!G16</f>
        <v>1.300673</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0">D14</f>
        <v>-0.74485959999999996</v>
      </c>
      <c r="E72" s="34">
        <f t="shared" si="30"/>
        <v>0.60125580000000001</v>
      </c>
      <c r="F72" s="34">
        <f t="shared" si="30"/>
        <v>0.99131420000000003</v>
      </c>
      <c r="G72" s="34">
        <f t="shared" si="30"/>
        <v>1.300675</v>
      </c>
      <c r="H72" s="34">
        <f t="shared" si="30"/>
        <v>0</v>
      </c>
      <c r="I72" s="34">
        <f t="shared" si="30"/>
        <v>0</v>
      </c>
      <c r="J72" s="34">
        <f t="shared" si="30"/>
        <v>0</v>
      </c>
      <c r="K72" s="34">
        <f t="shared" si="30"/>
        <v>0</v>
      </c>
      <c r="L72" s="34">
        <f t="shared" si="30"/>
        <v>0</v>
      </c>
      <c r="M72" s="34">
        <f t="shared" si="30"/>
        <v>0</v>
      </c>
      <c r="N72" s="34">
        <f t="shared" si="30"/>
        <v>0</v>
      </c>
      <c r="O72" s="34">
        <f t="shared" si="30"/>
        <v>0</v>
      </c>
      <c r="P72" s="34">
        <f t="shared" si="30"/>
        <v>0</v>
      </c>
      <c r="Q72" s="34">
        <f t="shared" si="30"/>
        <v>0</v>
      </c>
      <c r="R72" s="34">
        <f t="shared" si="30"/>
        <v>0</v>
      </c>
      <c r="S72" s="34">
        <f t="shared" si="30"/>
        <v>0</v>
      </c>
      <c r="T72" s="34">
        <f t="shared" si="30"/>
        <v>0</v>
      </c>
      <c r="U72" s="34">
        <f t="shared" si="30"/>
        <v>0</v>
      </c>
      <c r="V72" s="34">
        <f t="shared" si="30"/>
        <v>0</v>
      </c>
      <c r="W72" s="34">
        <f t="shared" si="30"/>
        <v>0</v>
      </c>
    </row>
    <row r="73" spans="2:23" outlineLevel="1" x14ac:dyDescent="0.2">
      <c r="B73" s="89" t="s">
        <v>121</v>
      </c>
      <c r="C73" s="49"/>
      <c r="D73" s="49">
        <f t="shared" ref="D73:T73" si="31">+D71-D72</f>
        <v>-1.2000000000345068E-6</v>
      </c>
      <c r="E73" s="49">
        <f t="shared" si="31"/>
        <v>2.1999999999522402E-6</v>
      </c>
      <c r="F73" s="49">
        <f t="shared" si="31"/>
        <v>-7.0000000007564012E-7</v>
      </c>
      <c r="G73" s="49">
        <f t="shared" si="31"/>
        <v>-2.0000000000575113E-6</v>
      </c>
      <c r="H73" s="49">
        <f t="shared" si="31"/>
        <v>0</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5" spans="2:23" x14ac:dyDescent="0.2">
      <c r="B75" s="51" t="s">
        <v>186</v>
      </c>
      <c r="C75" s="51"/>
      <c r="D75" s="51"/>
      <c r="E75" s="51"/>
      <c r="F75" s="51"/>
      <c r="G75" s="51"/>
      <c r="H75" s="51"/>
      <c r="I75" s="51"/>
      <c r="J75" s="51"/>
      <c r="K75" s="51">
        <f t="shared" ref="K75:W75" si="33">IF(K56&lt;J56,0,1)</f>
        <v>0</v>
      </c>
      <c r="L75" s="51">
        <f t="shared" si="33"/>
        <v>0</v>
      </c>
      <c r="M75" s="51">
        <f t="shared" si="33"/>
        <v>0</v>
      </c>
      <c r="N75" s="51">
        <f t="shared" si="33"/>
        <v>0</v>
      </c>
      <c r="O75" s="51">
        <f t="shared" si="33"/>
        <v>0</v>
      </c>
      <c r="P75" s="51">
        <f t="shared" si="33"/>
        <v>0</v>
      </c>
      <c r="Q75" s="51">
        <f t="shared" si="33"/>
        <v>0</v>
      </c>
      <c r="R75" s="51">
        <f t="shared" si="33"/>
        <v>0</v>
      </c>
      <c r="S75" s="51">
        <f t="shared" si="33"/>
        <v>0</v>
      </c>
      <c r="T75" s="51">
        <f t="shared" si="33"/>
        <v>0</v>
      </c>
      <c r="U75" s="51">
        <f t="shared" si="33"/>
        <v>0</v>
      </c>
      <c r="V75" s="51">
        <f t="shared" si="33"/>
        <v>0</v>
      </c>
      <c r="W75" s="51">
        <f t="shared" si="33"/>
        <v>0</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29">
        <f t="shared" ref="E79" si="34">IF((E83-D83*E42/((1+E23/100)*(1+E41/100)))&gt;0,1,0)</f>
        <v>0</v>
      </c>
      <c r="F79" s="29">
        <f t="shared" ref="F79" si="35">IF((F83-E83*F42/((1+F23/100)*(1+F41/100)))&gt;0,1,0)</f>
        <v>0</v>
      </c>
      <c r="G79" s="29">
        <f t="shared" ref="G79:W79" si="36">IF((G83-F83*G42/((1+G23/100)*(1+G41/100)))&gt;0,1,0)</f>
        <v>0</v>
      </c>
      <c r="H79" s="29">
        <f t="shared" si="36"/>
        <v>0</v>
      </c>
      <c r="I79" s="29">
        <f t="shared" si="36"/>
        <v>0</v>
      </c>
      <c r="J79" s="29">
        <f t="shared" si="36"/>
        <v>0</v>
      </c>
      <c r="K79" s="29">
        <f t="shared" si="36"/>
        <v>0</v>
      </c>
      <c r="L79" s="29">
        <f t="shared" si="36"/>
        <v>0</v>
      </c>
      <c r="M79" s="29">
        <f t="shared" si="36"/>
        <v>0</v>
      </c>
      <c r="N79" s="29">
        <f t="shared" si="36"/>
        <v>0</v>
      </c>
      <c r="O79" s="29">
        <f t="shared" si="36"/>
        <v>0</v>
      </c>
      <c r="P79" s="29">
        <f t="shared" si="36"/>
        <v>0</v>
      </c>
      <c r="Q79" s="29">
        <f t="shared" si="36"/>
        <v>0</v>
      </c>
      <c r="R79" s="29">
        <f t="shared" si="36"/>
        <v>0</v>
      </c>
      <c r="S79" s="29">
        <f t="shared" si="36"/>
        <v>0</v>
      </c>
      <c r="T79" s="29">
        <f t="shared" si="36"/>
        <v>0</v>
      </c>
      <c r="U79" s="29">
        <f t="shared" si="36"/>
        <v>0</v>
      </c>
      <c r="V79" s="29">
        <f t="shared" si="36"/>
        <v>0</v>
      </c>
      <c r="W79" s="29">
        <f t="shared" si="36"/>
        <v>0</v>
      </c>
    </row>
    <row r="80" spans="2:23" x14ac:dyDescent="0.2">
      <c r="B80" s="26" t="s">
        <v>126</v>
      </c>
      <c r="E80" s="29">
        <f t="shared" ref="E80" si="37">IF(AND(E79=0,ABS(E83-D83*E42/((1+E23/100)*(1+E41/100)))&lt;((D89*D83*E42/((1+E23/100)*(1+E41/100))+(E38*D83*D90*E42/((1+E23/100)*(1+E41/100)))))),1,0)</f>
        <v>1</v>
      </c>
      <c r="F80" s="29">
        <f t="shared" ref="F80" si="38">IF(AND(F79=0,ABS(F83-E83*F42/((1+F23/100)*(1+F41/100)))&lt;((E89*E83*F42/((1+F23/100)*(1+F41/100))+(F38*E83*E90*F42/((1+F23/100)*(1+F41/100)))))),1,0)</f>
        <v>1</v>
      </c>
      <c r="G80" s="29">
        <f t="shared" ref="G80:W80" si="39">IF(AND(G79=0,ABS(G83-F83*G42/((1+G23/100)*(1+G41/100)))&lt;((F89*F83*G42/((1+G23/100)*(1+G41/100))+(G38*F83*F90*G42/((1+G23/100)*(1+G41/100)))))),1,0)</f>
        <v>1</v>
      </c>
      <c r="H80" s="29">
        <f t="shared" si="39"/>
        <v>1</v>
      </c>
      <c r="I80" s="29">
        <f t="shared" si="39"/>
        <v>1</v>
      </c>
      <c r="J80" s="29">
        <f t="shared" si="39"/>
        <v>1</v>
      </c>
      <c r="K80" s="29">
        <f t="shared" si="39"/>
        <v>1</v>
      </c>
      <c r="L80" s="29">
        <f t="shared" si="39"/>
        <v>1</v>
      </c>
      <c r="M80" s="29">
        <f t="shared" si="39"/>
        <v>1</v>
      </c>
      <c r="N80" s="29">
        <f t="shared" si="39"/>
        <v>1</v>
      </c>
      <c r="O80" s="29">
        <f t="shared" si="39"/>
        <v>1</v>
      </c>
      <c r="P80" s="29">
        <f t="shared" si="39"/>
        <v>1</v>
      </c>
      <c r="Q80" s="29">
        <f t="shared" si="39"/>
        <v>1</v>
      </c>
      <c r="R80" s="29">
        <f t="shared" si="39"/>
        <v>1</v>
      </c>
      <c r="S80" s="29">
        <f t="shared" si="39"/>
        <v>1</v>
      </c>
      <c r="T80" s="29">
        <f t="shared" si="39"/>
        <v>1</v>
      </c>
      <c r="U80" s="29">
        <f t="shared" si="39"/>
        <v>1</v>
      </c>
      <c r="V80" s="29">
        <f t="shared" si="39"/>
        <v>1</v>
      </c>
      <c r="W80" s="29">
        <f t="shared" si="39"/>
        <v>1</v>
      </c>
    </row>
    <row r="82" spans="2:24"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4" x14ac:dyDescent="0.2">
      <c r="B83" s="106" t="s">
        <v>104</v>
      </c>
      <c r="C83" s="110">
        <f>C56</f>
        <v>99.250230000000002</v>
      </c>
      <c r="D83" s="110">
        <f>D56</f>
        <v>85.595287844886869</v>
      </c>
      <c r="E83" s="110">
        <f>E56</f>
        <v>77.284440321959977</v>
      </c>
      <c r="F83" s="110">
        <f>F56</f>
        <v>70.579945075187567</v>
      </c>
      <c r="G83" s="110">
        <f>G56</f>
        <v>65.467738950078513</v>
      </c>
      <c r="H83" s="110">
        <f>G83*(1+H97/100)*H42-H59-H60+H61+H62+H63+H64+H65+H71</f>
        <v>59.991048043186375</v>
      </c>
      <c r="I83" s="110">
        <f t="shared" ref="I83:S83" si="40">H83*(1+I97/100)*I42-I59-I60+I61+I62+I63+I64+I65+I71</f>
        <v>55.344336413083951</v>
      </c>
      <c r="J83" s="110">
        <f t="shared" si="40"/>
        <v>50.929639670376446</v>
      </c>
      <c r="K83" s="110">
        <f t="shared" si="40"/>
        <v>46.561514451744898</v>
      </c>
      <c r="L83" s="110">
        <f t="shared" si="40"/>
        <v>42.813150325105639</v>
      </c>
      <c r="M83" s="110">
        <f t="shared" si="40"/>
        <v>39.568885298384238</v>
      </c>
      <c r="N83" s="110">
        <f t="shared" si="40"/>
        <v>36.654259592161999</v>
      </c>
      <c r="O83" s="110">
        <f t="shared" si="40"/>
        <v>34.076708532842289</v>
      </c>
      <c r="P83" s="110">
        <f t="shared" si="40"/>
        <v>31.649507138256336</v>
      </c>
      <c r="Q83" s="110">
        <f t="shared" si="40"/>
        <v>29.467806872084662</v>
      </c>
      <c r="R83" s="110">
        <f t="shared" si="40"/>
        <v>27.461362704149682</v>
      </c>
      <c r="S83" s="110">
        <f t="shared" si="40"/>
        <v>25.58938718932378</v>
      </c>
      <c r="T83" s="110">
        <f>S83*(1+T97/100)*T42-T59-T60+T61+T62+T63+T64+T65+T71</f>
        <v>23.851735531335304</v>
      </c>
      <c r="U83" s="110">
        <f>T83*(1+U97/100)*U42-U59-U60+U61+U62+U63+U64+U65+U71</f>
        <v>21.936060365036848</v>
      </c>
      <c r="V83" s="110">
        <f t="shared" ref="V83:W83" si="41">U83*(1+V97/100)*V42-V59-V60+V61+V62+V63+V64+V65+V71</f>
        <v>20.22909467245654</v>
      </c>
      <c r="W83" s="110">
        <f t="shared" si="41"/>
        <v>18.579268429221475</v>
      </c>
    </row>
    <row r="84" spans="2:24" x14ac:dyDescent="0.2">
      <c r="B84" s="26" t="s">
        <v>127</v>
      </c>
      <c r="C84" s="34"/>
      <c r="D84" s="254">
        <f>'Input data'!C66*$D$83</f>
        <v>80.579287385165813</v>
      </c>
      <c r="E84" s="34">
        <f t="shared" ref="E84" si="42">IF(E83=0,0,IF(E79=1,D83*E42/((1+E23/100)*(1+E41/100))-E85-E86,IF(AND(E79=0,E80=1),(1-D89-E38*D90)*D83*E42/((1+E23/100)*(1+E41/100)),E83)))</f>
        <v>74.184299752358967</v>
      </c>
      <c r="F84" s="34">
        <f t="shared" ref="F84" si="43">IF(F83=0,0,IF(F79=1,E83*F42/((1+F23/100)*(1+F41/100))-F85-F86,IF(AND(F79=0,F80=1),(1-E89-F38*E90)*E83*F42/((1+F23/100)*(1+F41/100)),F83)))</f>
        <v>65.060117711874639</v>
      </c>
      <c r="G84" s="34">
        <f>IF(G83=0,0,IF(G79=1,F83*G42/((1+G23/100)*(1+G41/100))-G85-G86,IF(AND(G79=0,G80=1),(1-F89-G38*F90)*F83*G42/((1+G23/100)*(1+G41/100)),G83)))</f>
        <v>58.819172918048189</v>
      </c>
      <c r="H84" s="34">
        <f t="shared" ref="H84:W84" si="44">IF(H83=0,0,IF(H79=1,G83*H42/((1+H23/100)*(1+H41/100))-H85-H86,IF(AND(H79=0,H80=1),(1-G89-H38*G90)*G83*H42/((1+H23/100)*(1+H41/100)),H83)))</f>
        <v>53.699099566552945</v>
      </c>
      <c r="I84" s="34">
        <f t="shared" si="44"/>
        <v>49.655082806150212</v>
      </c>
      <c r="J84" s="34">
        <f t="shared" si="44"/>
        <v>45.512505366619386</v>
      </c>
      <c r="K84" s="34">
        <f t="shared" si="44"/>
        <v>41.952623613818204</v>
      </c>
      <c r="L84" s="34">
        <f t="shared" si="44"/>
        <v>39.037247465888996</v>
      </c>
      <c r="M84" s="34">
        <f t="shared" si="44"/>
        <v>35.860482359724344</v>
      </c>
      <c r="N84" s="34">
        <f t="shared" si="44"/>
        <v>35.297428214141057</v>
      </c>
      <c r="O84" s="34">
        <f t="shared" si="44"/>
        <v>32.828713003243863</v>
      </c>
      <c r="P84" s="34">
        <f t="shared" si="44"/>
        <v>30.50268044156563</v>
      </c>
      <c r="Q84" s="34">
        <f t="shared" si="44"/>
        <v>28.320836308330925</v>
      </c>
      <c r="R84" s="34">
        <f t="shared" si="44"/>
        <v>26.371624925982683</v>
      </c>
      <c r="S84" s="34">
        <f t="shared" si="44"/>
        <v>24.521145174098649</v>
      </c>
      <c r="T84" s="34">
        <f t="shared" si="44"/>
        <v>22.907412182812834</v>
      </c>
      <c r="U84" s="34">
        <f t="shared" si="44"/>
        <v>21.348492144414294</v>
      </c>
      <c r="V84" s="34">
        <f t="shared" si="44"/>
        <v>19.62667124826347</v>
      </c>
      <c r="W84" s="34">
        <f t="shared" si="44"/>
        <v>18.113652185010153</v>
      </c>
      <c r="X84" s="34"/>
    </row>
    <row r="85" spans="2:24" x14ac:dyDescent="0.2">
      <c r="B85" s="105" t="s">
        <v>128</v>
      </c>
      <c r="C85" s="34"/>
      <c r="D85" s="254">
        <f>'Input data'!C67*$D$83</f>
        <v>4.0611173722051426</v>
      </c>
      <c r="E85" s="34">
        <f t="shared" ref="E85" si="45">IF(E83=0,0,IF(E79=1,E38*D83*D90*E42/((1+E23/100)*(1+E41/100)),IF(AND(E79=0,E80=1),(E38*D83*D90*E42/((1+E23/100)*(1+E41/100)))*(1-ABS(E83-D83*E42/((1+E23/100)*(1+E41/100)))/((E38*D83*D90*E42/((1+E23/100)*(1+E41/100)))+(D89*D83*E42/((1+E23/100)*(1+E41/100))))),0)))</f>
        <v>2.6058483973222213</v>
      </c>
      <c r="F85" s="34">
        <f t="shared" ref="F85" si="46">IF(F83=0,0,IF(F79=1,F38*E83*E90*F42/((1+F23/100)*(1+F41/100)),IF(AND(F79=0,F80=1),(F38*E83*E90*F42/((1+F23/100)*(1+F41/100)))*(1-ABS(F83-E83*F42/((1+F23/100)*(1+F41/100)))/((F38*E83*E90*F42/((1+F23/100)*(1+F41/100)))+(E89*E83*F42/((1+F23/100)*(1+F41/100))))),0)))</f>
        <v>5.1759171739107712</v>
      </c>
      <c r="G85" s="34">
        <f t="shared" ref="G85" si="47">IF(G83=0,0,IF(G79=1,G38*F83*F90*G42/((1+G23/100)*(1+G41/100)),IF(AND(G79=0,G80=1),(G38*F83*F90*G42/((1+G23/100)*(1+G41/100)))*(1-ABS(G83-F83*G42/((1+G23/100)*(1+G41/100)))/((G38*F83*F90*G42/((1+G23/100)*(1+G41/100)))+(F89*F83*G42/((1+G23/100)*(1+G41/100))))),0)))</f>
        <v>6.3811475370972586</v>
      </c>
      <c r="H85" s="34">
        <f t="shared" ref="H85:W85" si="48">IF(H83=0,0,IF(H79=1,H38*G83*G90*H42/((1+H23/100)*(1+H41/100)),IF(AND(H79=0,H80=1),(H38*G83*G90*H42/((1+H23/100)*(1+H41/100)))*(1-ABS(H83-G83*H42/((1+H23/100)*(1+H41/100)))/((H38*G83*G90*H42/((1+H23/100)*(1+H41/100)))+(G89*G83*H42/((1+H23/100)*(1+H41/100))))),0)))</f>
        <v>6.1104905546643487</v>
      </c>
      <c r="I85" s="34">
        <f t="shared" si="48"/>
        <v>5.5656309792495504</v>
      </c>
      <c r="J85" s="34">
        <f t="shared" si="48"/>
        <v>5.3331674336658734</v>
      </c>
      <c r="K85" s="34">
        <f t="shared" si="48"/>
        <v>4.5547540045916781</v>
      </c>
      <c r="L85" s="34">
        <f t="shared" si="48"/>
        <v>3.7410992076233072</v>
      </c>
      <c r="M85" s="34">
        <f t="shared" si="48"/>
        <v>3.6850699089007093</v>
      </c>
      <c r="N85" s="34">
        <f t="shared" si="48"/>
        <v>1.3458156471492513</v>
      </c>
      <c r="O85" s="34">
        <f t="shared" si="48"/>
        <v>1.2425568110794682</v>
      </c>
      <c r="P85" s="34">
        <f t="shared" si="48"/>
        <v>1.144142813802423</v>
      </c>
      <c r="Q85" s="34">
        <f t="shared" si="48"/>
        <v>1.1455435750641134</v>
      </c>
      <c r="R85" s="34">
        <f t="shared" si="48"/>
        <v>1.0889584282567601</v>
      </c>
      <c r="S85" s="34">
        <f t="shared" si="48"/>
        <v>1.0678042114493433</v>
      </c>
      <c r="T85" s="34">
        <f t="shared" si="48"/>
        <v>0.94408092886812134</v>
      </c>
      <c r="U85" s="34">
        <f t="shared" si="48"/>
        <v>0.58747834297660007</v>
      </c>
      <c r="V85" s="34">
        <f t="shared" si="48"/>
        <v>0.60238624969553389</v>
      </c>
      <c r="W85" s="34">
        <f t="shared" si="48"/>
        <v>0.46560332174883262</v>
      </c>
    </row>
    <row r="86" spans="2:24" x14ac:dyDescent="0.2">
      <c r="B86" s="105" t="s">
        <v>129</v>
      </c>
      <c r="C86" s="34"/>
      <c r="D86" s="254">
        <f>'Input data'!C68*$D$83</f>
        <v>0.95488418751601412</v>
      </c>
      <c r="E86" s="34">
        <f t="shared" ref="E86" si="49">IF(E83=0,0,IF(E79=1,(1-D90)*D83*E42/((1+E23/100)*(1+E41/100)),IF(AND(E79=0,E80=1),(D89*D83*E42/((1+E23/100)*(1+E41/100)))*(1-ABS(E83-D83*E42/((1+E23/100)*(1+E41/100)))/((E38*D83*D90*E42/((1+E23/100)*(1+E41/100)))+(D89*D83*E42/((1+E23/100)*(1+E41/100))))),0)))</f>
        <v>0.49429217227879385</v>
      </c>
      <c r="F86" s="34">
        <f t="shared" ref="F86" si="50">IF(F83=0,0,IF(F79=1,(1-E90)*E83*F42/((1+F23/100)*(1+F41/100)),IF(AND(F79=0,F80=1),(E89*E83*F42/((1+F23/100)*(1+F41/100)))*(1-ABS(F83-E83*F42/((1+F23/100)*(1+F41/100)))/((F38*E83*E90*F42/((1+F23/100)*(1+F41/100)))+(E89*E83*F42/((1+F23/100)*(1+F41/100))))),0)))</f>
        <v>0.34391018940216095</v>
      </c>
      <c r="G86" s="34">
        <f t="shared" ref="G86" si="51">IF(G83=0,0,IF(G79=1,(1-F90)*F83*G42/((1+G23/100)*(1+G41/100)),IF(AND(G79=0,G80=1),(F89*F83*G42/((1+G23/100)*(1+G41/100)))*(1-ABS(G83-F83*G42/((1+G23/100)*(1+G41/100)))/((G38*F83*F90*G42/((1+G23/100)*(1+G41/100)))+(F89*F83*G42/((1+G23/100)*(1+G41/100))))),0)))</f>
        <v>0.26741849493307074</v>
      </c>
      <c r="H86" s="34">
        <f t="shared" ref="H86:W86" si="52">IF(H83=0,0,IF(H79=1,(1-G90)*G83*H42/((1+H23/100)*(1+H41/100)),IF(AND(H79=0,H80=1),(G89*G83*H42/((1+H23/100)*(1+H41/100)))*(1-ABS(H83-G83*H42/((1+H23/100)*(1+H41/100)))/((H38*G83*G90*H42/((1+H23/100)*(1+H41/100)))+(G89*G83*H42/((1+H23/100)*(1+H41/100))))),0)))</f>
        <v>0.18145792196909175</v>
      </c>
      <c r="I86" s="34">
        <f t="shared" si="52"/>
        <v>0.12362262768419337</v>
      </c>
      <c r="J86" s="34">
        <f t="shared" si="52"/>
        <v>8.3966870091188764E-2</v>
      </c>
      <c r="K86" s="34">
        <f t="shared" si="52"/>
        <v>5.4136833335014942E-2</v>
      </c>
      <c r="L86" s="34">
        <f t="shared" si="52"/>
        <v>3.4803651593338363E-2</v>
      </c>
      <c r="M86" s="34">
        <f t="shared" si="52"/>
        <v>2.3333029759183145E-2</v>
      </c>
      <c r="N86" s="34">
        <f t="shared" si="52"/>
        <v>1.1015730871693389E-2</v>
      </c>
      <c r="O86" s="34">
        <f t="shared" si="52"/>
        <v>5.4387185189581702E-3</v>
      </c>
      <c r="P86" s="34">
        <f t="shared" si="52"/>
        <v>2.683882888287018E-3</v>
      </c>
      <c r="Q86" s="34">
        <f t="shared" si="52"/>
        <v>1.4269886896240249E-3</v>
      </c>
      <c r="R86" s="34">
        <f t="shared" si="52"/>
        <v>7.7934991023812677E-4</v>
      </c>
      <c r="S86" s="34">
        <f t="shared" si="52"/>
        <v>4.3780377578656125E-4</v>
      </c>
      <c r="T86" s="34">
        <f t="shared" si="52"/>
        <v>2.4241965435009119E-4</v>
      </c>
      <c r="U86" s="34">
        <f t="shared" si="52"/>
        <v>8.987764595479701E-5</v>
      </c>
      <c r="V86" s="34">
        <f t="shared" si="52"/>
        <v>3.7174497541019459E-5</v>
      </c>
      <c r="W86" s="34">
        <f t="shared" si="52"/>
        <v>1.2922462487305224E-5</v>
      </c>
    </row>
    <row r="87" spans="2:24" x14ac:dyDescent="0.2">
      <c r="B87" s="105" t="s">
        <v>130</v>
      </c>
      <c r="C87" s="34"/>
      <c r="D87" s="254">
        <f>'Input data'!C69*$D$83</f>
        <v>0</v>
      </c>
      <c r="E87" s="34">
        <f>IF(E83=0,0,IF(E79=1,'Input data'!$C$58*(E83-D83*E42/((1+E23/100)*(1+E41/100))),0))</f>
        <v>0</v>
      </c>
      <c r="F87" s="34">
        <f>IF(F83=0,0,IF(F79=1,'Input data'!$C$58*(F83-E83*F42/((1+F23/100)*(1+F41/100))),0))</f>
        <v>0</v>
      </c>
      <c r="G87" s="34">
        <f>IF(G83=0,0,IF(G79=1,'Input data'!$C$58*(G83-F83*G42/((1+G23/100)*(1+G41/100))),0))</f>
        <v>0</v>
      </c>
      <c r="H87" s="34">
        <f>IF(H83=0,0,IF(H79=1,'Input data'!$C$58*(H83-G83*H42/((1+H23/100)*(1+H41/100))),0))</f>
        <v>0</v>
      </c>
      <c r="I87" s="34">
        <f>IF(I83=0,0,IF(I79=1,'Input data'!$C$58*(I83-H83*I42/((1+I23/100)*(1+I41/100))),0))</f>
        <v>0</v>
      </c>
      <c r="J87" s="34">
        <f>IF(J83=0,0,IF(J79=1,'Input data'!$C$58*(J83-I83*J42/((1+J23/100)*(1+J41/100))),0))</f>
        <v>0</v>
      </c>
      <c r="K87" s="34">
        <f>IF(K83=0,0,IF(K79=1,'Input data'!$C$58*(K83-J83*K42/((1+K23/100)*(1+K41/100))),0))</f>
        <v>0</v>
      </c>
      <c r="L87" s="34">
        <f>IF(L83=0,0,IF(L79=1,'Input data'!$C$58*(L83-K83*L42/((1+L23/100)*(1+L41/100))),0))</f>
        <v>0</v>
      </c>
      <c r="M87" s="34">
        <f>IF(M83=0,0,IF(M79=1,'Input data'!$C$58*(M83-L83*M42/((1+M23/100)*(1+M41/100))),0))</f>
        <v>0</v>
      </c>
      <c r="N87" s="34">
        <f>IF(N83=0,0,IF(N79=1,'Input data'!$C$58*(N83-M83*N42/((1+N23/100)*(1+N41/100))),0))</f>
        <v>0</v>
      </c>
      <c r="O87" s="34">
        <f>IF(O83=0,0,IF(O79=1,'Input data'!$C$58*(O83-N83*O42/((1+O23/100)*(1+O41/100))),0))</f>
        <v>0</v>
      </c>
      <c r="P87" s="34">
        <f>IF(P83=0,0,IF(P79=1,'Input data'!$C$58*(P83-O83*P42/((1+P23/100)*(1+P41/100))),0))</f>
        <v>0</v>
      </c>
      <c r="Q87" s="34">
        <f>IF(Q83=0,0,IF(Q79=1,'Input data'!$C$58*(Q83-P83*Q42/((1+Q23/100)*(1+Q41/100))),0))</f>
        <v>0</v>
      </c>
      <c r="R87" s="34">
        <f>IF(R83=0,0,IF(R79=1,'Input data'!$C$58*(R83-Q83*R42/((1+R23/100)*(1+R41/100))),0))</f>
        <v>0</v>
      </c>
      <c r="S87" s="34">
        <f>IF(S83=0,0,IF(S79=1,'Input data'!$C$58*(S83-R83*S42/((1+S23/100)*(1+S41/100))),0))</f>
        <v>0</v>
      </c>
      <c r="T87" s="34">
        <f>IF(T83=0,0,IF(T79=1,'Input data'!$C$58*(T83-S83*T42/((1+T23/100)*(1+T41/100))),0))</f>
        <v>0</v>
      </c>
      <c r="U87" s="34">
        <f>IF(U83=0,0,IF(U79=1,'Input data'!$C$58*(U83-T83*U42/((1+U23/100)*(1+U41/100))),0))</f>
        <v>0</v>
      </c>
      <c r="V87" s="34">
        <f>IF(V83=0,0,IF(V79=1,'Input data'!$C$58*(V83-U83*V42/((1+V23/100)*(1+V41/100))),0))</f>
        <v>0</v>
      </c>
      <c r="W87" s="34">
        <f>IF(W83=0,0,IF(W79=1,'Input data'!$C$58*(W83-V83*W42/((1+W23/100)*(1+W41/100))),0))</f>
        <v>0</v>
      </c>
    </row>
    <row r="88" spans="2:24" x14ac:dyDescent="0.2">
      <c r="B88" s="107" t="s">
        <v>131</v>
      </c>
      <c r="C88" s="49"/>
      <c r="D88" s="255">
        <f>'Input data'!C70*$D$83</f>
        <v>0</v>
      </c>
      <c r="E88" s="49">
        <f>IF(E83=0,0,IF(E79=1,'Input data'!$C$57*(E83-D83*E42/((1+E23/100)*(1+E41/100))),0))</f>
        <v>0</v>
      </c>
      <c r="F88" s="49">
        <f>IF(F83=0,0,IF(F79=1,'Input data'!$C$57*(F83-E83*F42/((1+F23/100)*(1+F41/100))),0))</f>
        <v>0</v>
      </c>
      <c r="G88" s="49">
        <f>IF(G83=0,0,IF(G79=1,'Input data'!$C$57*(G83-F83*G42/((1+G23/100)*(1+G41/100))),0))</f>
        <v>0</v>
      </c>
      <c r="H88" s="49">
        <f>IF(H83=0,0,IF(H79=1,'Input data'!$C$57*(H83-G83*H42/((1+H23/100)*(1+H41/100))),0))</f>
        <v>0</v>
      </c>
      <c r="I88" s="49">
        <f>IF(I83=0,0,IF(I79=1,'Input data'!$C$57*(I83-H83*I42/((1+I23/100)*(1+I41/100))),0))</f>
        <v>0</v>
      </c>
      <c r="J88" s="49">
        <f>IF(J83=0,0,IF(J79=1,'Input data'!$C$57*(J83-I83*J42/((1+J23/100)*(1+J41/100))),0))</f>
        <v>0</v>
      </c>
      <c r="K88" s="49">
        <f>IF(K83=0,0,IF(K79=1,'Input data'!$C$57*(K83-J83*K42/((1+K23/100)*(1+K41/100))),0))</f>
        <v>0</v>
      </c>
      <c r="L88" s="49">
        <f>IF(L83=0,0,IF(L79=1,'Input data'!$C$57*(L83-K83*L42/((1+L23/100)*(1+L41/100))),0))</f>
        <v>0</v>
      </c>
      <c r="M88" s="49">
        <f>IF(M83=0,0,IF(M79=1,'Input data'!$C$57*(M83-L83*M42/((1+M23/100)*(1+M41/100))),0))</f>
        <v>0</v>
      </c>
      <c r="N88" s="49">
        <f>IF(N83=0,0,IF(N79=1,'Input data'!$C$57*(N83-M83*N42/((1+N23/100)*(1+N41/100))),0))</f>
        <v>0</v>
      </c>
      <c r="O88" s="49">
        <f>IF(O83=0,0,IF(O79=1,'Input data'!$C$57*(O83-N83*O42/((1+O23/100)*(1+O41/100))),0))</f>
        <v>0</v>
      </c>
      <c r="P88" s="49">
        <f>IF(P83=0,0,IF(P79=1,'Input data'!$C$57*(P83-O83*P42/((1+P23/100)*(1+P41/100))),0))</f>
        <v>0</v>
      </c>
      <c r="Q88" s="49">
        <f>IF(Q83=0,0,IF(Q79=1,'Input data'!$C$57*(Q83-P83*Q42/((1+Q23/100)*(1+Q41/100))),0))</f>
        <v>0</v>
      </c>
      <c r="R88" s="49">
        <f>IF(R83=0,0,IF(R79=1,'Input data'!$C$57*(R83-Q83*R42/((1+R23/100)*(1+R41/100))),0))</f>
        <v>0</v>
      </c>
      <c r="S88" s="49">
        <f>IF(S83=0,0,IF(S79=1,'Input data'!$C$57*(S83-R83*S42/((1+S23/100)*(1+S41/100))),0))</f>
        <v>0</v>
      </c>
      <c r="T88" s="49">
        <f>IF(T83=0,0,IF(T79=1,'Input data'!$C$57*(T83-S83*T42/((1+T23/100)*(1+T41/100))),0))</f>
        <v>0</v>
      </c>
      <c r="U88" s="49">
        <f>IF(U83=0,0,IF(U79=1,'Input data'!$C$57*(U83-T83*U42/((1+U23/100)*(1+U41/100))),0))</f>
        <v>0</v>
      </c>
      <c r="V88" s="49">
        <f>IF(V83=0,0,IF(V79=1,'Input data'!$C$57*(V83-U83*V42/((1+V23/100)*(1+V41/100))),0))</f>
        <v>0</v>
      </c>
      <c r="W88" s="49">
        <f>IF(W83=0,0,IF(W79=1,'Input data'!$C$57*(W83-V83*W42/((1+W23/100)*(1+W41/100))),0))</f>
        <v>0</v>
      </c>
    </row>
    <row r="89" spans="2:24" x14ac:dyDescent="0.2">
      <c r="B89" s="26" t="s">
        <v>73</v>
      </c>
      <c r="C89" s="34"/>
      <c r="D89" s="260">
        <f>'Baseline NFPC'!$D$93</f>
        <v>1.1155790366010776E-2</v>
      </c>
      <c r="E89" s="34">
        <f t="shared" ref="E89:G89" si="53">IF(E83&lt;&gt;0,(E86+E88)/(E84+E85+E86+E87+E88),0)</f>
        <v>6.3957527572124145E-3</v>
      </c>
      <c r="F89" s="34">
        <f t="shared" si="53"/>
        <v>4.8726332818168029E-3</v>
      </c>
      <c r="G89" s="34">
        <f t="shared" si="53"/>
        <v>4.0847369898781277E-3</v>
      </c>
      <c r="H89" s="34">
        <f t="shared" ref="H89:W89" si="54">IF(H83&lt;&gt;0,(H86+H88)/(H84+H85+H86+H87+H88),0)</f>
        <v>3.0247499900062373E-3</v>
      </c>
      <c r="I89" s="34">
        <f t="shared" si="54"/>
        <v>2.233699700751453E-3</v>
      </c>
      <c r="J89" s="34">
        <f t="shared" si="54"/>
        <v>1.6486837651833739E-3</v>
      </c>
      <c r="K89" s="34">
        <f t="shared" si="54"/>
        <v>1.1626948558797609E-3</v>
      </c>
      <c r="L89" s="34">
        <f t="shared" si="54"/>
        <v>8.1291965970860811E-4</v>
      </c>
      <c r="M89" s="34">
        <f t="shared" si="54"/>
        <v>5.8968125038730691E-4</v>
      </c>
      <c r="N89" s="34">
        <f t="shared" si="54"/>
        <v>3.0053071578204651E-4</v>
      </c>
      <c r="O89" s="34">
        <f t="shared" si="54"/>
        <v>1.5960222548244259E-4</v>
      </c>
      <c r="P89" s="34">
        <f t="shared" si="54"/>
        <v>8.4800147963216618E-5</v>
      </c>
      <c r="Q89" s="34">
        <f t="shared" si="54"/>
        <v>4.8425344166885886E-5</v>
      </c>
      <c r="R89" s="34">
        <f t="shared" si="54"/>
        <v>2.8379870242941708E-5</v>
      </c>
      <c r="S89" s="34">
        <f t="shared" si="54"/>
        <v>1.7108802666803161E-5</v>
      </c>
      <c r="T89" s="34">
        <f t="shared" si="54"/>
        <v>1.0163606502831272E-5</v>
      </c>
      <c r="U89" s="34">
        <f t="shared" si="54"/>
        <v>4.0972555900716782E-6</v>
      </c>
      <c r="V89" s="34">
        <f t="shared" si="54"/>
        <v>1.8376748017119801E-6</v>
      </c>
      <c r="W89" s="34">
        <f t="shared" si="54"/>
        <v>6.9553128728043857E-7</v>
      </c>
    </row>
    <row r="90" spans="2:24" x14ac:dyDescent="0.2">
      <c r="B90" s="35" t="s">
        <v>74</v>
      </c>
      <c r="C90" s="49"/>
      <c r="D90" s="261">
        <f>'Baseline NFPC'!$D$94</f>
        <v>0.98884420963398922</v>
      </c>
      <c r="E90" s="49">
        <f t="shared" ref="E90:G90" si="55">IF(E83&lt;&gt;0,(E84+E85+E87)/(E84+E85+E86+E87+E88),1)</f>
        <v>0.99360424724278762</v>
      </c>
      <c r="F90" s="49">
        <f t="shared" si="55"/>
        <v>0.99512736671818314</v>
      </c>
      <c r="G90" s="49">
        <f t="shared" si="55"/>
        <v>0.9959152630101219</v>
      </c>
      <c r="H90" s="49">
        <f t="shared" ref="H90:W90" si="56">IF(H83&lt;&gt;0,(H84+H85+H87)/(H84+H85+H86+H87+H88),1)</f>
        <v>0.99697525000999376</v>
      </c>
      <c r="I90" s="49">
        <f t="shared" si="56"/>
        <v>0.99776630029924862</v>
      </c>
      <c r="J90" s="49">
        <f t="shared" si="56"/>
        <v>0.99835131623481665</v>
      </c>
      <c r="K90" s="49">
        <f t="shared" si="56"/>
        <v>0.99883730514412028</v>
      </c>
      <c r="L90" s="49">
        <f t="shared" si="56"/>
        <v>0.99918708034029147</v>
      </c>
      <c r="M90" s="49">
        <f t="shared" si="56"/>
        <v>0.99941031874961261</v>
      </c>
      <c r="N90" s="49">
        <f t="shared" si="56"/>
        <v>0.99969946928421805</v>
      </c>
      <c r="O90" s="49">
        <f t="shared" si="56"/>
        <v>0.9998403977745175</v>
      </c>
      <c r="P90" s="49">
        <f t="shared" si="56"/>
        <v>0.99991519985203681</v>
      </c>
      <c r="Q90" s="49">
        <f t="shared" si="56"/>
        <v>0.99995157465583318</v>
      </c>
      <c r="R90" s="49">
        <f t="shared" si="56"/>
        <v>0.99997162012975704</v>
      </c>
      <c r="S90" s="49">
        <f t="shared" si="56"/>
        <v>0.9999828911973333</v>
      </c>
      <c r="T90" s="49">
        <f t="shared" si="56"/>
        <v>0.99998983639349726</v>
      </c>
      <c r="U90" s="49">
        <f t="shared" si="56"/>
        <v>0.99999590274440997</v>
      </c>
      <c r="V90" s="49">
        <f t="shared" si="56"/>
        <v>0.99999816232519823</v>
      </c>
      <c r="W90" s="49">
        <f t="shared" si="56"/>
        <v>0.99999930446871266</v>
      </c>
    </row>
    <row r="92" spans="2:24" x14ac:dyDescent="0.2">
      <c r="B92" s="113" t="s">
        <v>132</v>
      </c>
      <c r="C92" s="51"/>
      <c r="D92" s="51"/>
      <c r="E92" s="52">
        <f t="shared" ref="E92:G92" si="57">E94+E95</f>
        <v>1.80772</v>
      </c>
      <c r="F92" s="52">
        <f t="shared" si="57"/>
        <v>1.9077200000000001</v>
      </c>
      <c r="G92" s="52">
        <f t="shared" si="57"/>
        <v>1.9077200000000001</v>
      </c>
      <c r="H92" s="52">
        <f t="shared" ref="H92:W92" si="58">H94+H95</f>
        <v>2.0510578068871177</v>
      </c>
      <c r="I92" s="52">
        <f t="shared" si="58"/>
        <v>2.1928297708470597</v>
      </c>
      <c r="J92" s="52">
        <f t="shared" si="58"/>
        <v>2.3254135666366342</v>
      </c>
      <c r="K92" s="52">
        <f t="shared" si="58"/>
        <v>2.456688810666209</v>
      </c>
      <c r="L92" s="52">
        <f t="shared" si="58"/>
        <v>2.5730224274454976</v>
      </c>
      <c r="M92" s="52">
        <f t="shared" si="58"/>
        <v>2.6726198392535356</v>
      </c>
      <c r="N92" s="52">
        <f t="shared" si="58"/>
        <v>2.7757142872742562</v>
      </c>
      <c r="O92" s="52">
        <f t="shared" si="58"/>
        <v>2.815023796191515</v>
      </c>
      <c r="P92" s="52">
        <f t="shared" si="58"/>
        <v>2.8529085527744713</v>
      </c>
      <c r="Q92" s="52">
        <f t="shared" si="58"/>
        <v>2.8893790012457314</v>
      </c>
      <c r="R92" s="52">
        <f t="shared" si="58"/>
        <v>2.9274760781871416</v>
      </c>
      <c r="S92" s="52">
        <f t="shared" si="58"/>
        <v>2.9651301136012016</v>
      </c>
      <c r="T92" s="52">
        <f t="shared" si="58"/>
        <v>3.0035018983123445</v>
      </c>
      <c r="U92" s="52">
        <f t="shared" si="58"/>
        <v>3.0386843222071218</v>
      </c>
      <c r="V92" s="52">
        <f t="shared" si="58"/>
        <v>3.0617544170565929</v>
      </c>
      <c r="W92" s="52">
        <f t="shared" si="58"/>
        <v>3.0869460593667086</v>
      </c>
    </row>
    <row r="93" spans="2:24" x14ac:dyDescent="0.2">
      <c r="B93" s="33" t="s">
        <v>133</v>
      </c>
      <c r="C93" s="97"/>
      <c r="D93" s="97"/>
      <c r="E93" s="266">
        <f>((E35*D83)-(E37*(D86+D88)))/(D84+D85+D87)</f>
        <v>1.789417966678488</v>
      </c>
      <c r="F93" s="266">
        <f t="shared" ref="F93:G93" si="59">((F35*E83)-(F37*(E86+E88)))/(E84+E85+E87)</f>
        <v>1.8970573164187969</v>
      </c>
      <c r="G93" s="266">
        <f t="shared" si="59"/>
        <v>1.903270777978008</v>
      </c>
      <c r="H93" s="34">
        <f t="shared" ref="H93:W93" si="60">IF(G83&gt;0,(G93*G84+H36*(G87+G85))/(G84+G85+G87),H36)</f>
        <v>2.0479651535739261</v>
      </c>
      <c r="I93" s="34">
        <f t="shared" si="60"/>
        <v>2.1910064597493979</v>
      </c>
      <c r="J93" s="34">
        <f t="shared" si="60"/>
        <v>2.3243902465315935</v>
      </c>
      <c r="K93" s="34">
        <f t="shared" si="60"/>
        <v>2.4561693712007502</v>
      </c>
      <c r="L93" s="34">
        <f t="shared" si="60"/>
        <v>2.5728048383621802</v>
      </c>
      <c r="M93" s="34">
        <f t="shared" si="60"/>
        <v>2.6725579734038218</v>
      </c>
      <c r="N93" s="34">
        <f>IF(M83&gt;0,(M93*M84+N36*(M87+M85))/(M84+M85+M87),N36)</f>
        <v>2.7757369082037022</v>
      </c>
      <c r="O93" s="34">
        <f>IF(N83&gt;0,(N93*N84+O36*(N87+N85))/(N84+N85+N87),O36)</f>
        <v>2.8150505315637422</v>
      </c>
      <c r="P93" s="34">
        <f t="shared" si="60"/>
        <v>2.852934591732597</v>
      </c>
      <c r="Q93" s="34">
        <f t="shared" si="60"/>
        <v>2.889399007127643</v>
      </c>
      <c r="R93" s="34">
        <f t="shared" si="60"/>
        <v>2.927491105278702</v>
      </c>
      <c r="S93" s="34">
        <f t="shared" si="60"/>
        <v>2.9651410191061025</v>
      </c>
      <c r="T93" s="34">
        <f t="shared" si="60"/>
        <v>3.0035097502647403</v>
      </c>
      <c r="U93" s="34">
        <f t="shared" si="60"/>
        <v>3.038689713255514</v>
      </c>
      <c r="V93" s="34">
        <f t="shared" si="60"/>
        <v>3.0617568336111121</v>
      </c>
      <c r="W93" s="34">
        <f t="shared" si="60"/>
        <v>3.0869472562319129</v>
      </c>
    </row>
    <row r="94" spans="2:24" x14ac:dyDescent="0.2">
      <c r="B94" s="26" t="s">
        <v>134</v>
      </c>
      <c r="C94" s="97"/>
      <c r="D94" s="97"/>
      <c r="E94" s="34">
        <f t="shared" ref="E94:F94" si="61">(E93*(D84+D85+D87)+E37*(D86+D88))/D83</f>
        <v>1.80772</v>
      </c>
      <c r="F94" s="34">
        <f t="shared" si="61"/>
        <v>1.9077200000000001</v>
      </c>
      <c r="G94" s="34">
        <f>(G93*(F84+F85+F87)+G37*(F86+F88))/F83</f>
        <v>1.9077200000000001</v>
      </c>
      <c r="H94" s="34">
        <f t="shared" ref="H94:W94" si="62">(H93*(G84+G85+G87)+H37*(G86+G88))/G83</f>
        <v>2.0510578068871177</v>
      </c>
      <c r="I94" s="34">
        <f t="shared" si="62"/>
        <v>2.1928297708470597</v>
      </c>
      <c r="J94" s="34">
        <f t="shared" si="62"/>
        <v>2.3254135666366342</v>
      </c>
      <c r="K94" s="34">
        <f t="shared" si="62"/>
        <v>2.456688810666209</v>
      </c>
      <c r="L94" s="34">
        <f t="shared" si="62"/>
        <v>2.5730224274454976</v>
      </c>
      <c r="M94" s="34">
        <f t="shared" si="62"/>
        <v>2.6726198392535356</v>
      </c>
      <c r="N94" s="34">
        <f>(N93*(M84+M85+M87)+N37*(M86+M88))/M83</f>
        <v>2.7757142872742562</v>
      </c>
      <c r="O94" s="34">
        <f>(O93*(N84+N85+N87)+O37*(N86+N88))/N83</f>
        <v>2.815023796191515</v>
      </c>
      <c r="P94" s="34">
        <f t="shared" si="62"/>
        <v>2.8529085527744713</v>
      </c>
      <c r="Q94" s="34">
        <f t="shared" si="62"/>
        <v>2.8893790012457314</v>
      </c>
      <c r="R94" s="34">
        <f t="shared" si="62"/>
        <v>2.9274760781871416</v>
      </c>
      <c r="S94" s="34">
        <f t="shared" si="62"/>
        <v>2.9651301136012016</v>
      </c>
      <c r="T94" s="34">
        <f t="shared" si="62"/>
        <v>3.0035018983123445</v>
      </c>
      <c r="U94" s="34">
        <f t="shared" si="62"/>
        <v>3.0386843222071218</v>
      </c>
      <c r="V94" s="34">
        <f t="shared" si="62"/>
        <v>3.0617544170565929</v>
      </c>
      <c r="W94" s="34">
        <f t="shared" si="62"/>
        <v>3.0869460593667086</v>
      </c>
    </row>
    <row r="95" spans="2:24" x14ac:dyDescent="0.2">
      <c r="B95" s="35" t="s">
        <v>135</v>
      </c>
      <c r="C95" s="35"/>
      <c r="D95" s="35"/>
      <c r="E95" s="49">
        <f>IF('Criteria results'!$F$5=4,E105,E110)</f>
        <v>0</v>
      </c>
      <c r="F95" s="49">
        <f>IF('Criteria results'!$F$5=4,F105,F110)</f>
        <v>0</v>
      </c>
      <c r="G95" s="49">
        <f>IF('Criteria results'!$F$5=4,G105,G110)</f>
        <v>0</v>
      </c>
      <c r="H95" s="49">
        <f>IF('Criteria results'!$F$5=4,H105,H110)</f>
        <v>0</v>
      </c>
      <c r="I95" s="49">
        <f>IF('Criteria results'!$F$5=4,I105,I110)</f>
        <v>0</v>
      </c>
      <c r="J95" s="49">
        <f>IF('Criteria results'!$F$5=4,J105,J110)</f>
        <v>0</v>
      </c>
      <c r="K95" s="49">
        <f>IF('Criteria results'!$F$5=4,K105,K110)</f>
        <v>0</v>
      </c>
      <c r="L95" s="49">
        <f>IF('Criteria results'!$F$5=4,L105,L110)</f>
        <v>0</v>
      </c>
      <c r="M95" s="49">
        <f>IF('Criteria results'!$F$5=4,M105,M110)</f>
        <v>0</v>
      </c>
      <c r="N95" s="49">
        <f>IF('Criteria results'!$F$5=4,N105,N110)</f>
        <v>0</v>
      </c>
      <c r="O95" s="49">
        <f>IF('Criteria results'!$F$5=4,O105,O110)</f>
        <v>0</v>
      </c>
      <c r="P95" s="49">
        <f>IF('Criteria results'!$F$5=4,P105,P110)</f>
        <v>0</v>
      </c>
      <c r="Q95" s="49">
        <f>IF('Criteria results'!$F$5=4,Q105,Q110)</f>
        <v>0</v>
      </c>
      <c r="R95" s="49">
        <f>IF('Criteria results'!$F$5=4,R105,R110)</f>
        <v>0</v>
      </c>
      <c r="S95" s="49">
        <f>IF('Criteria results'!$F$5=4,S105,S110)</f>
        <v>0</v>
      </c>
      <c r="T95" s="49">
        <f>IF('Criteria results'!$F$5=4,T105,T110)</f>
        <v>0</v>
      </c>
      <c r="U95" s="49">
        <f>IF('Criteria results'!$F$5=4,U105,U110)</f>
        <v>0</v>
      </c>
      <c r="V95" s="49">
        <f>IF('Criteria results'!$F$5=4,V105,V110)</f>
        <v>0</v>
      </c>
      <c r="W95" s="49">
        <f>IF('Criteria results'!$F$5=4,W105,W110)</f>
        <v>0</v>
      </c>
    </row>
    <row r="96" spans="2:24" x14ac:dyDescent="0.2">
      <c r="G96" s="98"/>
      <c r="H96" s="98"/>
      <c r="I96" s="98"/>
      <c r="J96" s="98"/>
      <c r="K96" s="98"/>
      <c r="L96" s="98"/>
      <c r="M96" s="98"/>
      <c r="N96" s="98"/>
      <c r="O96" s="98"/>
      <c r="P96" s="98"/>
      <c r="Q96" s="98"/>
      <c r="R96" s="98"/>
      <c r="S96" s="98"/>
      <c r="T96" s="98"/>
      <c r="U96" s="98"/>
      <c r="V96" s="98"/>
      <c r="W96" s="98"/>
    </row>
    <row r="97" spans="1:54" x14ac:dyDescent="0.2">
      <c r="B97" s="113" t="s">
        <v>185</v>
      </c>
      <c r="C97" s="52">
        <f t="shared" ref="C97:T97" si="63">((1+C92/100)/((1+C23/100)*(1+C41/100))-1)*100</f>
        <v>-11.397004774846863</v>
      </c>
      <c r="D97" s="52">
        <f t="shared" si="63"/>
        <v>-10.258126208091767</v>
      </c>
      <c r="E97" s="52">
        <f t="shared" si="63"/>
        <v>-5.1265148425786773</v>
      </c>
      <c r="F97" s="52">
        <f t="shared" si="63"/>
        <v>-4.3974442453050262</v>
      </c>
      <c r="G97" s="52">
        <f>((1+G92/100)/((1+G23/100)*(1+G41/100))-1)*100</f>
        <v>-3.3667168756985943</v>
      </c>
      <c r="H97" s="52">
        <f t="shared" si="63"/>
        <v>-2.4818120584936265</v>
      </c>
      <c r="I97" s="52">
        <f t="shared" si="63"/>
        <v>-1.7354991123177177</v>
      </c>
      <c r="J97" s="52">
        <f t="shared" si="63"/>
        <v>-1.6845391065855475</v>
      </c>
      <c r="K97" s="52">
        <f t="shared" si="63"/>
        <v>-1.8225320921633648</v>
      </c>
      <c r="L97" s="52">
        <f t="shared" si="63"/>
        <v>-1.5887675670609891</v>
      </c>
      <c r="M97" s="52">
        <f t="shared" si="63"/>
        <v>-1.2413152621429169</v>
      </c>
      <c r="N97" s="52">
        <f t="shared" si="63"/>
        <v>-1.1383640809178641</v>
      </c>
      <c r="O97" s="52">
        <f t="shared" si="63"/>
        <v>-1.0950008642529929</v>
      </c>
      <c r="P97" s="52">
        <f t="shared" si="63"/>
        <v>-1.1962525281320247</v>
      </c>
      <c r="Q97" s="52">
        <f t="shared" si="63"/>
        <v>-1.1974326975364269</v>
      </c>
      <c r="R97" s="52">
        <f t="shared" si="63"/>
        <v>-1.1970169263084696</v>
      </c>
      <c r="S97" s="52">
        <f t="shared" si="63"/>
        <v>-1.2187853622630973</v>
      </c>
      <c r="T97" s="52">
        <f t="shared" si="63"/>
        <v>-1.2080336849687567</v>
      </c>
      <c r="U97" s="52">
        <f>((1+U92/100)/((1+U23/100)*(1+U41/100))-1)*100</f>
        <v>-1.2113485243458677</v>
      </c>
      <c r="V97" s="52">
        <f t="shared" ref="V97:W97" si="64">((1+V92/100)/((1+V23/100)*(1+V41/100))-1)*100</f>
        <v>-1.2303753189051747</v>
      </c>
      <c r="W97" s="52">
        <f t="shared" si="64"/>
        <v>-1.1478744928653084</v>
      </c>
    </row>
    <row r="100" spans="1:54" s="25" customFormat="1" ht="12.75" outlineLevel="1" x14ac:dyDescent="0.2">
      <c r="B100" s="25" t="s">
        <v>136</v>
      </c>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54" s="127" customFormat="1" ht="12.75" outlineLevel="1" x14ac:dyDescent="0.2">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s="127" customFormat="1" ht="12.75" outlineLevel="1" x14ac:dyDescent="0.2">
      <c r="B102" s="106" t="s">
        <v>292</v>
      </c>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54" outlineLevel="1" x14ac:dyDescent="0.2">
      <c r="B103" s="120" t="s">
        <v>43</v>
      </c>
      <c r="C103" s="34">
        <v>99.250228881835938</v>
      </c>
      <c r="D103" s="34">
        <v>85.59527587890625</v>
      </c>
      <c r="E103" s="34">
        <v>77.284423828125</v>
      </c>
      <c r="F103" s="34">
        <v>70.579917907714844</v>
      </c>
      <c r="G103" s="34">
        <v>65.467704772949219</v>
      </c>
      <c r="H103" s="34">
        <v>59.991008758544922</v>
      </c>
      <c r="I103" s="34">
        <v>55.344291687011719</v>
      </c>
      <c r="J103" s="34">
        <v>50.929588317871094</v>
      </c>
      <c r="K103" s="34">
        <v>46.561454772949219</v>
      </c>
      <c r="L103" s="34">
        <v>42.813087463378906</v>
      </c>
      <c r="M103" s="34">
        <v>39.568824768066406</v>
      </c>
      <c r="N103" s="34">
        <v>36.654186248779297</v>
      </c>
      <c r="O103" s="34">
        <v>34.076641082763672</v>
      </c>
      <c r="P103" s="34">
        <v>31.649431228637695</v>
      </c>
      <c r="Q103" s="34">
        <v>29.467716217041016</v>
      </c>
      <c r="R103" s="34">
        <v>27.461273193359375</v>
      </c>
      <c r="S103" s="34">
        <v>25.589284896850586</v>
      </c>
      <c r="T103" s="34">
        <v>23.851629257202148</v>
      </c>
      <c r="U103" s="34">
        <v>21.935949325561523</v>
      </c>
      <c r="V103" s="34">
        <v>20.228982925415039</v>
      </c>
      <c r="W103" s="34">
        <v>18.579153060913086</v>
      </c>
      <c r="X103" s="34"/>
      <c r="Y103" s="34"/>
      <c r="Z103" s="34"/>
    </row>
    <row r="104" spans="1:54" s="5" customFormat="1" ht="12.75" x14ac:dyDescent="0.2">
      <c r="A104" s="26"/>
      <c r="B104" s="26" t="s">
        <v>132</v>
      </c>
      <c r="C104" s="1">
        <v>1.7160236835479736</v>
      </c>
      <c r="D104" s="1">
        <v>1.6482961177825928</v>
      </c>
      <c r="E104" s="1">
        <v>1.807720422744751</v>
      </c>
      <c r="F104" s="1">
        <v>1.9077204465866089</v>
      </c>
      <c r="G104" s="1">
        <v>1.9077204465866089</v>
      </c>
      <c r="H104" s="1">
        <v>2.0510580539703369</v>
      </c>
      <c r="I104" s="1">
        <v>2.1928298473358154</v>
      </c>
      <c r="J104" s="1">
        <v>2.3254132270812988</v>
      </c>
      <c r="K104" s="1">
        <v>2.456688404083252</v>
      </c>
      <c r="L104" s="1">
        <v>2.5730218887329102</v>
      </c>
      <c r="M104" s="1">
        <v>2.6726188659667969</v>
      </c>
      <c r="N104" s="1">
        <v>2.7757134437561035</v>
      </c>
      <c r="O104" s="1">
        <v>2.8150224685668945</v>
      </c>
      <c r="P104" s="1">
        <v>2.8529071807861328</v>
      </c>
      <c r="Q104" s="1">
        <v>2.8893773555755615</v>
      </c>
      <c r="R104" s="1">
        <v>2.927473783493042</v>
      </c>
      <c r="S104" s="1">
        <v>2.96512770652771</v>
      </c>
      <c r="T104" s="1">
        <v>3.0034990310668945</v>
      </c>
      <c r="U104" s="99">
        <v>3.0386810302734375</v>
      </c>
      <c r="V104" s="99">
        <v>3.0617504119873047</v>
      </c>
      <c r="W104" s="99">
        <v>3.0869419574737549</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t="s">
        <v>184</v>
      </c>
      <c r="C105" s="1"/>
      <c r="D105" s="1"/>
      <c r="E105" s="1"/>
      <c r="F105" s="1"/>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106" t="s">
        <v>293</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20" t="s">
        <v>43</v>
      </c>
      <c r="C108" s="34">
        <v>99.250228881835938</v>
      </c>
      <c r="D108" s="34">
        <v>85.59527587890625</v>
      </c>
      <c r="E108" s="34">
        <v>77.284423828125</v>
      </c>
      <c r="F108" s="34">
        <v>70.579917907714844</v>
      </c>
      <c r="G108" s="34">
        <v>65.467704772949219</v>
      </c>
      <c r="H108" s="34">
        <v>59.991008758544922</v>
      </c>
      <c r="I108" s="34">
        <v>55.344291687011719</v>
      </c>
      <c r="J108" s="34">
        <v>50.929588317871094</v>
      </c>
      <c r="K108" s="34">
        <v>46.611194610595703</v>
      </c>
      <c r="L108" s="34">
        <v>42.444400787353516</v>
      </c>
      <c r="M108" s="34">
        <v>38.387298583984375</v>
      </c>
      <c r="N108" s="34">
        <v>34.701122283935547</v>
      </c>
      <c r="O108" s="34">
        <v>31.521154403686523</v>
      </c>
      <c r="P108" s="34">
        <v>28.657293319702148</v>
      </c>
      <c r="Q108" s="34">
        <v>26.089370727539063</v>
      </c>
      <c r="R108" s="34">
        <v>23.747669219970703</v>
      </c>
      <c r="S108" s="34">
        <v>21.516666412353516</v>
      </c>
      <c r="T108" s="34">
        <v>19.422109603881836</v>
      </c>
      <c r="U108" s="34">
        <v>17.152276992797852</v>
      </c>
      <c r="V108" s="34">
        <v>15.096644401550293</v>
      </c>
      <c r="W108" s="34">
        <v>13.09867000579834</v>
      </c>
      <c r="X108" s="34"/>
      <c r="Y108" s="34"/>
      <c r="Z108" s="34"/>
    </row>
    <row r="109" spans="1:54" x14ac:dyDescent="0.2">
      <c r="B109" s="26" t="s">
        <v>132</v>
      </c>
      <c r="C109" s="1">
        <v>1.7160236835479736</v>
      </c>
      <c r="D109" s="1">
        <v>1.6482961177825928</v>
      </c>
      <c r="E109" s="1">
        <v>1.807720422744751</v>
      </c>
      <c r="F109" s="1">
        <v>1.9077204465866089</v>
      </c>
      <c r="G109" s="1">
        <v>1.9077204465866089</v>
      </c>
      <c r="H109" s="1">
        <v>2.0510580539703369</v>
      </c>
      <c r="I109" s="1">
        <v>2.1928298473358154</v>
      </c>
      <c r="J109" s="1">
        <v>2.3254132270812988</v>
      </c>
      <c r="K109" s="1">
        <v>2.456688404083252</v>
      </c>
      <c r="L109" s="1">
        <v>2.5721971988677979</v>
      </c>
      <c r="M109" s="1">
        <v>2.6604959964752197</v>
      </c>
      <c r="N109" s="1">
        <v>2.7436487674713135</v>
      </c>
      <c r="O109" s="1">
        <v>2.7610199451446533</v>
      </c>
      <c r="P109" s="1">
        <v>2.7785179615020752</v>
      </c>
      <c r="Q109" s="1">
        <v>2.7939822673797607</v>
      </c>
      <c r="R109" s="1">
        <v>2.8111951351165771</v>
      </c>
      <c r="S109" s="1">
        <v>2.8279976844787598</v>
      </c>
      <c r="T109" s="1">
        <v>2.8432698249816895</v>
      </c>
      <c r="U109" s="1">
        <v>2.8519246578216553</v>
      </c>
      <c r="V109" s="1">
        <v>2.8519246578216553</v>
      </c>
      <c r="W109" s="1">
        <v>2.8519246578216553</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184</v>
      </c>
      <c r="C110" s="34"/>
      <c r="D110" s="34"/>
      <c r="E110" s="34"/>
      <c r="F110" s="34"/>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row>
    <row r="114" spans="5:23" x14ac:dyDescent="0.2">
      <c r="E114" s="34"/>
      <c r="F114" s="34"/>
      <c r="G114" s="121"/>
      <c r="H114" s="121"/>
      <c r="I114" s="121"/>
      <c r="J114" s="121"/>
      <c r="K114" s="121"/>
      <c r="L114" s="121"/>
      <c r="M114" s="121"/>
      <c r="N114" s="121"/>
      <c r="O114" s="121"/>
      <c r="P114" s="121"/>
      <c r="Q114" s="121"/>
      <c r="R114" s="121"/>
      <c r="S114" s="121"/>
      <c r="T114" s="121"/>
      <c r="U114" s="121"/>
      <c r="V114" s="121"/>
      <c r="W114"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7" spans="5:23" x14ac:dyDescent="0.2">
      <c r="E117" s="34"/>
      <c r="F117" s="34"/>
      <c r="G117" s="121"/>
      <c r="H117" s="121"/>
      <c r="I117" s="121"/>
      <c r="J117" s="121"/>
      <c r="K117" s="121"/>
      <c r="L117" s="121"/>
      <c r="M117" s="121"/>
      <c r="N117" s="121"/>
      <c r="O117" s="121"/>
      <c r="P117" s="121"/>
      <c r="Q117" s="121"/>
      <c r="R117" s="121"/>
      <c r="S117" s="121"/>
      <c r="T117" s="121"/>
      <c r="U117" s="121"/>
      <c r="V117" s="121"/>
      <c r="W117" s="121"/>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G125" s="121"/>
      <c r="H125" s="121"/>
      <c r="I125" s="121"/>
      <c r="J125" s="121"/>
      <c r="K125" s="121"/>
      <c r="L125" s="121"/>
      <c r="M125" s="121"/>
      <c r="N125" s="121"/>
      <c r="O125" s="121"/>
      <c r="P125" s="121"/>
      <c r="Q125" s="121"/>
      <c r="R125" s="121"/>
      <c r="S125" s="121"/>
      <c r="T125" s="121"/>
      <c r="U125" s="121"/>
      <c r="V125" s="121"/>
      <c r="W125" s="121"/>
    </row>
    <row r="126" spans="5:23" x14ac:dyDescent="0.2">
      <c r="E126" s="34"/>
      <c r="F126" s="34"/>
      <c r="G126" s="121"/>
      <c r="H126" s="121"/>
      <c r="I126" s="121"/>
      <c r="J126" s="121"/>
      <c r="K126" s="121"/>
      <c r="L126" s="121"/>
      <c r="M126" s="121"/>
      <c r="N126" s="121"/>
      <c r="O126" s="121"/>
      <c r="P126" s="121"/>
      <c r="Q126" s="121"/>
      <c r="R126" s="121"/>
      <c r="S126" s="121"/>
      <c r="T126" s="121"/>
      <c r="U126" s="121"/>
      <c r="V126" s="121"/>
      <c r="W126" s="121"/>
    </row>
    <row r="127" spans="5:23"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U10:W43 U45:W52 U54:W76 U78:W99 U101:W130">
    <cfRule type="expression" dxfId="19" priority="1">
      <formula>U$10&gt;$C$7</formula>
    </cfRule>
  </conditionalFormatting>
  <conditionalFormatting sqref="G12:M12">
    <cfRule type="expression" dxfId="18" priority="60">
      <formula>AND(G10&gt;$C$5,G10&lt;=$C$6)</formula>
    </cfRule>
  </conditionalFormatting>
  <conditionalFormatting sqref="K12:N12">
    <cfRule type="expression" dxfId="17" priority="62">
      <formula>K10=$C$6+1</formula>
    </cfRule>
  </conditionalFormatting>
  <conditionalFormatting sqref="L12:O12">
    <cfRule type="expression" dxfId="16" priority="65">
      <formula>L10=$C$6+2</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zoomScaleNormal="100" workbookViewId="0"/>
  </sheetViews>
  <sheetFormatPr defaultColWidth="9.28515625" defaultRowHeight="11.25" outlineLevelRow="1" x14ac:dyDescent="0.2"/>
  <cols>
    <col min="1" max="1" width="9.28515625" style="26" customWidth="1"/>
    <col min="2" max="2" width="56"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CY</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-1.437066</v>
      </c>
      <c r="D12" s="2">
        <f>'Input data'!D13</f>
        <v>2.087558</v>
      </c>
      <c r="E12" s="2">
        <f>'Input data'!E13</f>
        <v>3.2270470000000002</v>
      </c>
      <c r="F12" s="2">
        <f>'Input data'!F13</f>
        <v>3.482405</v>
      </c>
      <c r="G12" s="3">
        <f>'Adjust. no safeguard'!G12</f>
        <v>3.482405</v>
      </c>
      <c r="H12" s="3">
        <f>'Adjust. no safeguard'!H12</f>
        <v>3.482405</v>
      </c>
      <c r="I12" s="3">
        <f>'Adjust. no safeguard'!I12</f>
        <v>3.482405</v>
      </c>
      <c r="J12" s="3">
        <f>'Adjust. no safeguard'!J12</f>
        <v>3.482405</v>
      </c>
      <c r="K12" s="119">
        <f>'Adjust. no safeguard'!K12</f>
        <v>3.482405</v>
      </c>
      <c r="L12" s="119">
        <f>'Adjust. no safeguard'!L12</f>
        <v>3.482405</v>
      </c>
      <c r="M12" s="119">
        <f>'Adjust. no safeguard'!M12</f>
        <v>3.482405</v>
      </c>
      <c r="N12" s="119">
        <f>IF(N10&lt;=$C$6,M12+'Criteria results'!$F$6,M12)</f>
        <v>3.482405</v>
      </c>
      <c r="O12" s="119">
        <f>IF(O10&lt;=$C$6,N12+'Criteria results'!$F$6,N12)</f>
        <v>3.482405</v>
      </c>
      <c r="P12" s="119">
        <f>IF(P10&lt;=$C$6,O12+'Criteria results'!$F$6,O12)</f>
        <v>3.482405</v>
      </c>
      <c r="Q12" s="119">
        <f>IF(Q10&lt;=$C$6,P12+'Criteria results'!$F$6,P12)</f>
        <v>3.482405</v>
      </c>
      <c r="R12" s="119">
        <f>IF(R10&lt;=$C$6,Q12+'Criteria results'!$F$6,Q12)</f>
        <v>3.482405</v>
      </c>
      <c r="S12" s="119">
        <f>IF(S10&lt;=$C$6,R12+'Criteria results'!$F$6,R12)</f>
        <v>3.482405</v>
      </c>
      <c r="T12" s="119">
        <f>IF(T10&lt;=$C$6,S12+'Criteria results'!$F$6,S12)</f>
        <v>3.482405</v>
      </c>
      <c r="U12" s="119">
        <f>IF(U10&lt;=$C$6,T12+'Criteria results'!$F$6,T12)</f>
        <v>3.482405</v>
      </c>
      <c r="V12" s="119">
        <f>IF(V10&lt;=$C$6,U12+'Criteria results'!$F$6,U12)</f>
        <v>3.482405</v>
      </c>
      <c r="W12" s="119">
        <f>IF(W10&lt;=$C$6,V12+'Criteria results'!$F$6,V12)</f>
        <v>3.482405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8.0633499999999997E-2</v>
      </c>
      <c r="D13" s="2">
        <f>'Input data'!D14</f>
        <v>0</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-4.4074220000000004</v>
      </c>
      <c r="D14" s="2">
        <f>'Input data'!D15</f>
        <v>-0.74485959999999996</v>
      </c>
      <c r="E14" s="2">
        <f>'Input data'!E15</f>
        <v>0.60125580000000001</v>
      </c>
      <c r="F14" s="2">
        <f>'Input data'!F15</f>
        <v>0.99131420000000003</v>
      </c>
      <c r="G14" s="2">
        <f>'Input data'!G15</f>
        <v>1.300675</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1">
        <f>'Input data'!C20</f>
        <v>0</v>
      </c>
      <c r="D17" s="101">
        <f>'Input data'!D20</f>
        <v>20.90879</v>
      </c>
      <c r="E17" s="101">
        <f>'Input data'!E20</f>
        <v>21.00188</v>
      </c>
      <c r="F17" s="101">
        <f>'Input data'!F20</f>
        <v>21.01275</v>
      </c>
      <c r="G17" s="101">
        <f>'Input data'!G20</f>
        <v>21.349210000000006</v>
      </c>
      <c r="H17" s="101">
        <f>'Input data'!H20</f>
        <v>21.616050000000001</v>
      </c>
      <c r="I17" s="101">
        <f>'Input data'!I20</f>
        <v>21.792829999999999</v>
      </c>
      <c r="J17" s="101">
        <f>'Input data'!J20</f>
        <v>21.931189999999997</v>
      </c>
      <c r="K17" s="101">
        <f>'Input data'!K20</f>
        <v>21.810479999999998</v>
      </c>
      <c r="L17" s="101">
        <f>'Input data'!L20</f>
        <v>22.04786</v>
      </c>
      <c r="M17" s="101">
        <f>'Input data'!M20</f>
        <v>22.285779999999999</v>
      </c>
      <c r="N17" s="101">
        <f>'Input data'!N20</f>
        <v>22.47654</v>
      </c>
      <c r="O17" s="101">
        <f>'Input data'!O20</f>
        <v>22.706669999999999</v>
      </c>
      <c r="P17" s="101">
        <f>'Input data'!P20</f>
        <v>22.857150000000004</v>
      </c>
      <c r="Q17" s="101">
        <f>'Input data'!Q20</f>
        <v>23.067840000000004</v>
      </c>
      <c r="R17" s="101">
        <f>'Input data'!R20</f>
        <v>23.210700000000003</v>
      </c>
      <c r="S17" s="101">
        <f>'Input data'!S20</f>
        <v>23.320980000000006</v>
      </c>
      <c r="T17" s="101">
        <f>'Input data'!T20</f>
        <v>23.423589999999997</v>
      </c>
      <c r="U17" s="101">
        <f>'Input data'!U20</f>
        <v>23.21922</v>
      </c>
      <c r="V17" s="101">
        <f>'Input data'!V20</f>
        <v>23.402750000000005</v>
      </c>
      <c r="W17" s="101">
        <f>'Input data'!W20</f>
        <v>23.416050000000002</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1">
        <f>'Input data'!C26</f>
        <v>0.43526049999999999</v>
      </c>
      <c r="D18" s="101">
        <f>'Input data'!D26</f>
        <v>0.41113149999999998</v>
      </c>
      <c r="E18" s="101">
        <f>'Input data'!E26</f>
        <v>0.4049838</v>
      </c>
      <c r="F18" s="101">
        <f>'Input data'!F26</f>
        <v>0.39883610000000003</v>
      </c>
      <c r="G18" s="101">
        <f>'Input data'!G26</f>
        <v>0.3926885</v>
      </c>
      <c r="H18" s="101">
        <f>'Input data'!H26</f>
        <v>0.38654080000000002</v>
      </c>
      <c r="I18" s="101">
        <f>'Input data'!I26</f>
        <v>0.38039309999999998</v>
      </c>
      <c r="J18" s="101">
        <f>'Input data'!J26</f>
        <v>0.37424540000000001</v>
      </c>
      <c r="K18" s="101">
        <f>'Input data'!K26</f>
        <v>0.36809770000000003</v>
      </c>
      <c r="L18" s="101">
        <f>'Input data'!L26</f>
        <v>0.36194999999999999</v>
      </c>
      <c r="M18" s="101">
        <f>'Input data'!M26</f>
        <v>0.35580240000000002</v>
      </c>
      <c r="N18" s="101">
        <f>'Input data'!N26</f>
        <v>0.34965469999999998</v>
      </c>
      <c r="O18" s="101">
        <f>'Input data'!O26</f>
        <v>0.34350700000000001</v>
      </c>
      <c r="P18" s="101">
        <f>'Input data'!P26</f>
        <v>0.33735929999999997</v>
      </c>
      <c r="Q18" s="101">
        <f>'Input data'!Q26</f>
        <v>0.33121159999999999</v>
      </c>
      <c r="R18" s="101">
        <f>'Input data'!R26</f>
        <v>0.32506390000000002</v>
      </c>
      <c r="S18" s="101">
        <f>'Input data'!S26</f>
        <v>0.31891629999999999</v>
      </c>
      <c r="T18" s="101">
        <f>'Input data'!T26</f>
        <v>0.31276860000000001</v>
      </c>
      <c r="U18" s="101">
        <f>'Input data'!U26</f>
        <v>0.30662089999999997</v>
      </c>
      <c r="V18" s="101">
        <f>'Input data'!V26</f>
        <v>0.3004732</v>
      </c>
      <c r="W18" s="101">
        <f>'Input data'!W26</f>
        <v>0.29432550000000002</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88</v>
      </c>
      <c r="K20" s="38"/>
      <c r="L20" s="38"/>
      <c r="M20" s="38"/>
    </row>
    <row r="21" spans="1:54" ht="10.5" customHeight="1" x14ac:dyDescent="0.2">
      <c r="B21" s="30" t="s">
        <v>89</v>
      </c>
    </row>
    <row r="22" spans="1:54" x14ac:dyDescent="0.2">
      <c r="B22" s="26" t="s">
        <v>61</v>
      </c>
      <c r="C22" s="34">
        <f>'Input data'!C31</f>
        <v>23.926369999999999</v>
      </c>
      <c r="D22" s="100">
        <f>IF(AND(D50&gt;1,C50&gt;1),IF(AND(D50&gt;0,C50&gt;0),D27*(D51/100+1),0)+IF(D50&gt;0,C22*(1+D52/100),0)-C22*(1+'Input data'!D30/100),IF(D50=1,D27,C22*(1+D52/100)))</f>
        <v>25.136550003195801</v>
      </c>
      <c r="E22" s="100">
        <f>IF(AND(E50&gt;1,D50&gt;1),IF(AND(E50&gt;0,D50&gt;0),E27*(E51/100+1),0)+IF(E50&gt;0,D22*(1+E52/100),0)-D22*(1+'Input data'!E30/100),IF(E50=1,E27,D22*(1+E52/100)))</f>
        <v>25.755220072397957</v>
      </c>
      <c r="F22" s="100">
        <f>IF(AND(F50&gt;1,E50&gt;1),IF(AND(F50&gt;0,E50&gt;0),F27*(F51/100+1),0)+IF(F50&gt;0,E22*(1+F52/100),0)-E22*(1+'Input data'!F30/100),IF(F50=1,F27,E22*(1+F52/100)))</f>
        <v>26.470858995717016</v>
      </c>
      <c r="G22" s="34">
        <f>IF(AND(G50&gt;1,F50&gt;1),IF(AND(G50&gt;0,F50&gt;0),G27*(G51/100+1),0)+IF(G50&gt;0,F22*(1+G52/100),0)-F22*(1+'Input data'!G30/100),IF(G50=1,G27,F22*(1+G52/100)))</f>
        <v>27.268041090968172</v>
      </c>
      <c r="H22" s="34">
        <f>IF(AND(H50&gt;1,G50&gt;1),IF(AND(H50&gt;0,G50&gt;0),H27*(H51/100+1),0)+IF(H50&gt;0,G22*(1+H52/100),0)-G22*(1+'Input data'!H30/100),IF(H50=1,H27,G22*(1+H52/100)))</f>
        <v>27.867541790332417</v>
      </c>
      <c r="I22" s="34">
        <f>IF(AND(I50&gt;1,H50&gt;1),IF(AND(I50&gt;0,H50&gt;0),I27*(I51/100+1),0)+IF(I50&gt;0,H22*(1+I52/100),0)-H22*(1+'Input data'!I30/100),IF(I50=1,I27,H22*(1+I52/100)))</f>
        <v>28.297141405037568</v>
      </c>
      <c r="J22" s="34">
        <f>IF(AND(J50&gt;1,I50&gt;1),IF(AND(J50&gt;0,I50&gt;0),J27*(J51/100+1),0)+IF(J50&gt;0,I22*(1+J52/100),0)-I22*(1+'Input data'!J30/100),IF(J50=1,J27,I22*(1+J52/100)))</f>
        <v>28.749593171076548</v>
      </c>
      <c r="K22" s="4">
        <f>IF(AND(K50&gt;1,J50&gt;1),IF(AND(K50&gt;0,J50&gt;0),K27*(K51/100+1),0)+IF(K50&gt;0,J22*(1+K52/100),0)-J22*(1+'Adverse (r-g)'!K24/100),IF(K50=1,K27,J22*(1+K52/100)))</f>
        <v>29.083958414550391</v>
      </c>
      <c r="L22" s="4">
        <f>IF(AND(L50&gt;1,K50&gt;1),IF(AND(L50&gt;0,K50&gt;0),L27*(L51/100+1),0)+IF(L50&gt;0,K22*(1+L52/100),0)-K22*(1+'Adverse (r-g)'!L24/100),IF(L50=1,L27,K22*(1+L52/100)))</f>
        <v>29.397220567275181</v>
      </c>
      <c r="M22" s="4">
        <f>IF(AND(M50&gt;1,L50&gt;1),IF(AND(M50&gt;0,L50&gt;0),M27*(M51/100+1),0)+IF(M50&gt;0,L22*(1+M52/100),0)-L22*(1+'Adverse (r-g)'!M24/100),IF(M50=1,M27,L22*(1+M52/100)))</f>
        <v>29.69857147531032</v>
      </c>
      <c r="N22" s="4">
        <f>IF(AND(N50&gt;1,M50&gt;1),IF(AND(N50&gt;0,M50&gt;0),N27*(N51/100+1),0)+IF(N50&gt;0,M22*(1+N52/100),0)-M22*(1+'Adverse (r-g)'!N24/100),IF(N50=1,N27,M22*(1+N52/100)))</f>
        <v>29.99545948176327</v>
      </c>
      <c r="O22" s="4">
        <f>IF(AND(O50&gt;1,N50&gt;1),IF(AND(O50&gt;0,N50&gt;0),O27*(O51/100+1),0)+IF(O50&gt;0,N22*(1+O52/100),0)-N22*(1+'Adverse (r-g)'!O24/100),IF(O50=1,O27,N22*(1+O52/100)))</f>
        <v>30.287150627448273</v>
      </c>
      <c r="P22" s="4">
        <f>IF(AND(P50&gt;1,O50&gt;1),IF(AND(P50&gt;0,O50&gt;0),P27*(P51/100+1),0)+IF(P50&gt;0,O22*(1+P52/100),0)-O22*(1+'Adverse (r-g)'!P24/100),IF(P50=1,P27,O22*(1+P52/100)))</f>
        <v>30.60120324111989</v>
      </c>
      <c r="Q22" s="4">
        <f>IF(AND(Q50&gt;1,P50&gt;1),IF(AND(Q50&gt;0,P50&gt;0),Q27*(Q51/100+1),0)+IF(Q50&gt;0,P22*(1+Q52/100),0)-P22*(1+'Adverse (r-g)'!Q24/100),IF(Q50=1,Q27,P22*(1+Q52/100)))</f>
        <v>30.938240915461162</v>
      </c>
      <c r="R22" s="4">
        <f>IF(AND(R50&gt;1,Q50&gt;1),IF(AND(R50&gt;0,Q50&gt;0),R27*(R51/100+1),0)+IF(R50&gt;0,Q22*(1+R52/100),0)-Q22*(1+'Adverse (r-g)'!R24/100),IF(R50=1,R27,Q22*(1+R52/100)))</f>
        <v>31.29893656285093</v>
      </c>
      <c r="S22" s="4">
        <f>IF(AND(S50&gt;1,R50&gt;1),IF(AND(S50&gt;0,R50&gt;0),S27*(S51/100+1),0)+IF(S50&gt;0,R22*(1+S52/100),0)-R22*(1+'Adverse (r-g)'!S24/100),IF(S50=1,S27,R22*(1+S52/100)))</f>
        <v>31.691040250429356</v>
      </c>
      <c r="T22" s="4">
        <f>IF(AND(T50&gt;1,S50&gt;1),IF(AND(T50&gt;0,S50&gt;0),T27*(T51/100+1),0)+IF(T50&gt;0,S22*(1+T52/100),0)-S22*(1+'Adverse (r-g)'!T24/100),IF(T50=1,T27,S22*(1+T52/100)))</f>
        <v>32.10522376569913</v>
      </c>
      <c r="U22" s="4">
        <f>IF(AND(U50&gt;1,T50&gt;1),IF(AND(U50&gt;0,T50&gt;0),U27*(U51/100+1),0)+IF(U50&gt;0,T22*(1+U52/100),0)-T22*(1+'Adverse (r-g)'!U24/100),IF(U50=1,U27,T22*(1+U52/100)))</f>
        <v>32.545864109256499</v>
      </c>
      <c r="V22" s="4">
        <f>IF(AND(V50&gt;1,U50&gt;1),IF(AND(V50&gt;0,U50&gt;0),V27*(V51/100+1),0)+IF(V50&gt;0,U22*(1+V52/100),0)-U22*(1+'Adverse (r-g)'!V24/100),IF(V50=1,V27,U22*(1+V52/100)))</f>
        <v>33.015275385514798</v>
      </c>
      <c r="W22" s="4">
        <f>IF(AND(W50&gt;1,V50&gt;1),IF(AND(W50&gt;0,V50&gt;0),W27*(W51/100+1),0)+IF(W50&gt;0,V22*(1+W52/100),0)-V22*(1+'Adverse (r-g)'!W24/100),IF(W50=1,W27,V22*(1+W52/100)))</f>
        <v>33.480627012684643</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145</v>
      </c>
      <c r="C23" s="34">
        <f>+'Input data'!C30</f>
        <v>9.9113959999999999</v>
      </c>
      <c r="D23" s="100">
        <f>100*(D22/C22-1)</f>
        <v>5.0579340000000084</v>
      </c>
      <c r="E23" s="100">
        <f t="shared" ref="E23:T23" si="0">100*(E22/D22-1)</f>
        <v>2.461237000000005</v>
      </c>
      <c r="F23" s="100">
        <f t="shared" si="0"/>
        <v>2.7786169999999943</v>
      </c>
      <c r="G23" s="34">
        <f t="shared" si="0"/>
        <v>3.0115459999999983</v>
      </c>
      <c r="H23" s="34">
        <f t="shared" si="0"/>
        <v>2.1985469999999951</v>
      </c>
      <c r="I23" s="34">
        <f t="shared" si="0"/>
        <v>1.541576999999994</v>
      </c>
      <c r="J23" s="34">
        <f t="shared" si="0"/>
        <v>1.5989309999999923</v>
      </c>
      <c r="K23" s="4">
        <f>100*(K22/J22-1)</f>
        <v>1.1630260000000003</v>
      </c>
      <c r="L23" s="4">
        <f>100*(L22/K22-1)</f>
        <v>1.0770960000000107</v>
      </c>
      <c r="M23" s="4">
        <f t="shared" si="0"/>
        <v>1.025100000000001</v>
      </c>
      <c r="N23" s="4">
        <f t="shared" si="0"/>
        <v>0.99967100000000197</v>
      </c>
      <c r="O23" s="4">
        <f t="shared" si="0"/>
        <v>0.9724510000000075</v>
      </c>
      <c r="P23" s="4">
        <f t="shared" si="0"/>
        <v>1.0369169999999928</v>
      </c>
      <c r="Q23" s="4">
        <f t="shared" si="0"/>
        <v>1.1013869999999981</v>
      </c>
      <c r="R23" s="4">
        <f t="shared" si="0"/>
        <v>1.1658570000000035</v>
      </c>
      <c r="S23" s="4">
        <f t="shared" si="0"/>
        <v>1.2527699999999919</v>
      </c>
      <c r="T23" s="4">
        <f t="shared" si="0"/>
        <v>1.3069420000000109</v>
      </c>
      <c r="U23" s="4">
        <f t="shared" ref="U23" si="1">100*(U22/T22-1)</f>
        <v>1.372488000000005</v>
      </c>
      <c r="V23" s="4">
        <f t="shared" ref="V23" si="2">100*(V22/U22-1)</f>
        <v>1.4423070000000093</v>
      </c>
      <c r="W23" s="4">
        <f t="shared" ref="W23" si="3">100*(W22/V22-1)</f>
        <v>1.4095039999999948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5" customHeight="1" x14ac:dyDescent="0.2">
      <c r="B24" s="32" t="s">
        <v>146</v>
      </c>
      <c r="C24" s="34"/>
      <c r="D24" s="34"/>
      <c r="E24" s="34"/>
      <c r="F24" s="34"/>
      <c r="G24" s="34"/>
      <c r="H24" s="34"/>
      <c r="I24" s="34"/>
      <c r="J24" s="34"/>
      <c r="K24" s="4">
        <f>IF('Criteria results'!$F$5=4,'Input data'!K30-0.5,'Input data'!K30)</f>
        <v>1.1630259999999999</v>
      </c>
      <c r="L24" s="4">
        <f>IF('Criteria results'!$F$5=4,'Input data'!L30-0.5,'Input data'!L30)</f>
        <v>1.0770960000000001</v>
      </c>
      <c r="M24" s="4">
        <f>IF('Criteria results'!$F$5=4,'Input data'!M30-0.5,'Input data'!M30)</f>
        <v>1.0250999999999999</v>
      </c>
      <c r="N24" s="4">
        <f>'Input data'!N30-0.5</f>
        <v>0.99967099999999998</v>
      </c>
      <c r="O24" s="4">
        <f>'Input data'!O30-0.5</f>
        <v>0.97245099999999995</v>
      </c>
      <c r="P24" s="4">
        <f>'Input data'!P30-0.5</f>
        <v>1.0369170000000001</v>
      </c>
      <c r="Q24" s="4">
        <f>'Input data'!Q30-0.5</f>
        <v>1.1013869999999999</v>
      </c>
      <c r="R24" s="4">
        <f>'Input data'!R30-0.5</f>
        <v>1.1658569999999999</v>
      </c>
      <c r="S24" s="4">
        <f>'Input data'!S30-0.5</f>
        <v>1.2527699999999999</v>
      </c>
      <c r="T24" s="4">
        <f>'Input data'!T30-0.5</f>
        <v>1.306942</v>
      </c>
      <c r="U24" s="4">
        <f>'Input data'!U30-0.5</f>
        <v>1.3724879999999999</v>
      </c>
      <c r="V24" s="4">
        <f>'Input data'!V30-0.5</f>
        <v>1.442307</v>
      </c>
      <c r="W24" s="4">
        <f>'Input data'!W30-0.5</f>
        <v>1.4095040000000001</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5" customHeight="1" x14ac:dyDescent="0.2">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147</v>
      </c>
    </row>
    <row r="27" spans="1:54" x14ac:dyDescent="0.2">
      <c r="B27" s="26" t="s">
        <v>61</v>
      </c>
      <c r="C27" s="34">
        <f>'Input data'!C34</f>
        <v>23.334579999999999</v>
      </c>
      <c r="D27" s="100">
        <f>+C27*(1+'Input data'!D33/100)</f>
        <v>24.1267537557842</v>
      </c>
      <c r="E27" s="100">
        <f>+D27*(1+'Input data'!E33/100)</f>
        <v>25.109058128758399</v>
      </c>
      <c r="F27" s="100">
        <f>+E27*(1+'Input data'!F33/100)</f>
        <v>26.049688893656899</v>
      </c>
      <c r="G27" s="34">
        <f>+F27*(1+'Input data'!G33/100)</f>
        <v>26.971436034910944</v>
      </c>
      <c r="H27" s="34">
        <f>+G27*(1+'Input data'!H33/100)</f>
        <v>27.664722233612871</v>
      </c>
      <c r="I27" s="34">
        <f>+H27*(1+'Input data'!I33/100)</f>
        <v>28.228160225339305</v>
      </c>
      <c r="J27" s="34">
        <f>+I27*(1+'Input data'!J33/100)</f>
        <v>28.749596164372218</v>
      </c>
      <c r="K27" s="4">
        <f>IF('Criteria results'!$F$5=4,J27*(1+'Input data'!K33/100-0.005),J27*(1+'Input data'!K33/100))</f>
        <v>29.083961442658868</v>
      </c>
      <c r="L27" s="4">
        <f>IF('Criteria results'!$F$5=4,K27*(1+'Input data'!L33/100-0.005),K27*(1+'Input data'!L33/100))</f>
        <v>29.397223046320061</v>
      </c>
      <c r="M27" s="4">
        <f>IF('Criteria results'!$F$5=4,L27*(1+'Input data'!M33/100-0.005),L27*(1+'Input data'!M33/100))</f>
        <v>29.69857397976789</v>
      </c>
      <c r="N27" s="4">
        <f>+M27*(1+'Input data'!N33/100-0.005)</f>
        <v>29.99546260522866</v>
      </c>
      <c r="O27" s="4">
        <f>+N27*(1+'Input data'!O33/100-0.005)</f>
        <v>30.287153181378585</v>
      </c>
      <c r="P27" s="4">
        <f>+O27*(1+'Input data'!P33/100-0.005)</f>
        <v>30.601206427275404</v>
      </c>
      <c r="Q27" s="4">
        <f>+P27*(1+'Input data'!Q33/100-0.005)</f>
        <v>30.938245054744772</v>
      </c>
      <c r="R27" s="4">
        <f>+Q27*(1+'Input data'!R33/100-0.005)</f>
        <v>31.298941678540022</v>
      </c>
      <c r="S27" s="4">
        <f>+R27*(1+'Input data'!S33/100-0.005)</f>
        <v>31.691046369174522</v>
      </c>
      <c r="T27" s="4">
        <f>+S27*(1+'Input data'!T33/100-0.005)</f>
        <v>32.105229647502277</v>
      </c>
      <c r="U27" s="4">
        <f>+T27*(1+'Input data'!U33/100-0.005)</f>
        <v>32.545868787577504</v>
      </c>
      <c r="V27" s="4">
        <f>+U27*(1+'Input data'!V33/100-0.005)</f>
        <v>33.015280131311556</v>
      </c>
      <c r="W27" s="4">
        <f>+V27*(1+'Input data'!W33/100-0.005)</f>
        <v>33.480632155526401</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91</v>
      </c>
      <c r="C30" s="34">
        <f t="shared" ref="C30:W30" si="4">100*(C22/C27-1)</f>
        <v>2.5361073565498105</v>
      </c>
      <c r="D30" s="100">
        <f t="shared" si="4"/>
        <v>4.1853796728435144</v>
      </c>
      <c r="E30" s="100">
        <f t="shared" si="4"/>
        <v>2.5734216724739856</v>
      </c>
      <c r="F30" s="100">
        <f t="shared" si="4"/>
        <v>1.6167951324849383</v>
      </c>
      <c r="G30" s="34">
        <f t="shared" si="4"/>
        <v>1.0997006450576441</v>
      </c>
      <c r="H30" s="34">
        <f t="shared" si="4"/>
        <v>0.73313426032928231</v>
      </c>
      <c r="I30" s="34">
        <f t="shared" si="4"/>
        <v>0.2443700869897425</v>
      </c>
      <c r="J30" s="34">
        <f t="shared" si="4"/>
        <v>-1.0411609441263181E-5</v>
      </c>
      <c r="K30" s="34">
        <f t="shared" si="4"/>
        <v>-1.0411609441263181E-5</v>
      </c>
      <c r="L30" s="34">
        <f t="shared" si="4"/>
        <v>-8.4329219718348725E-6</v>
      </c>
      <c r="M30" s="34">
        <f t="shared" si="4"/>
        <v>-8.4329219718348725E-6</v>
      </c>
      <c r="N30" s="34">
        <f t="shared" si="4"/>
        <v>-1.0413126250163884E-5</v>
      </c>
      <c r="O30" s="34">
        <f t="shared" si="4"/>
        <v>-8.4323881321957117E-6</v>
      </c>
      <c r="P30" s="34">
        <f t="shared" si="4"/>
        <v>-1.0411862427783802E-5</v>
      </c>
      <c r="Q30" s="34">
        <f t="shared" si="4"/>
        <v>-1.337918037469521E-5</v>
      </c>
      <c r="R30" s="34">
        <f t="shared" si="4"/>
        <v>-1.6344607256524313E-5</v>
      </c>
      <c r="S30" s="34">
        <f t="shared" si="4"/>
        <v>-1.9307488596798095E-5</v>
      </c>
      <c r="T30" s="34">
        <f t="shared" si="4"/>
        <v>-1.8320389583159624E-5</v>
      </c>
      <c r="U30" s="34">
        <f t="shared" si="4"/>
        <v>-1.4374546386530795E-5</v>
      </c>
      <c r="V30" s="34">
        <f t="shared" si="4"/>
        <v>-1.4374546386530795E-5</v>
      </c>
      <c r="W30" s="34">
        <f t="shared" si="4"/>
        <v>-1.5360647120932214E-5</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100*((1+C23/100)*(1+C42/100)-1)</f>
        <v>12.863001691856368</v>
      </c>
      <c r="D33" s="2">
        <f t="shared" si="5"/>
        <v>11.430702050949048</v>
      </c>
      <c r="E33" s="2">
        <f t="shared" si="5"/>
        <v>7.3089281278882812</v>
      </c>
      <c r="F33" s="2">
        <f t="shared" si="5"/>
        <v>6.5951837746716091</v>
      </c>
      <c r="G33" s="1">
        <f t="shared" si="5"/>
        <v>5.4581989819325161</v>
      </c>
      <c r="H33" s="1">
        <f t="shared" si="5"/>
        <v>4.6482302030670164</v>
      </c>
      <c r="I33" s="1">
        <f t="shared" si="5"/>
        <v>3.9977090889159461</v>
      </c>
      <c r="J33" s="1">
        <f t="shared" si="5"/>
        <v>4.0786592838835789</v>
      </c>
      <c r="K33" s="1">
        <f t="shared" si="5"/>
        <v>3.6542287421412523</v>
      </c>
      <c r="L33" s="1">
        <f t="shared" si="5"/>
        <v>3.5882774836387688</v>
      </c>
      <c r="M33" s="1">
        <f t="shared" si="5"/>
        <v>3.5570731390937693</v>
      </c>
      <c r="N33" s="1">
        <f t="shared" si="5"/>
        <v>3.5530847136673538</v>
      </c>
      <c r="O33" s="1">
        <f t="shared" si="5"/>
        <v>3.5472485005000109</v>
      </c>
      <c r="P33" s="1">
        <f t="shared" si="5"/>
        <v>3.5855732313250011</v>
      </c>
      <c r="Q33" s="1">
        <f t="shared" si="5"/>
        <v>3.6238666056499946</v>
      </c>
      <c r="R33" s="1">
        <f t="shared" si="5"/>
        <v>3.6621245214750076</v>
      </c>
      <c r="S33" s="1">
        <f t="shared" si="5"/>
        <v>3.7233375879999864</v>
      </c>
      <c r="T33" s="1">
        <f t="shared" si="5"/>
        <v>3.750971975750006</v>
      </c>
      <c r="U33" s="1">
        <f t="shared" si="5"/>
        <v>3.7902218388000009</v>
      </c>
      <c r="V33" s="1">
        <f t="shared" si="5"/>
        <v>3.8338093875250001</v>
      </c>
      <c r="W33" s="1">
        <f t="shared" si="5"/>
        <v>3.7723454431999981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148</v>
      </c>
    </row>
    <row r="36" spans="2:51" x14ac:dyDescent="0.2">
      <c r="B36" s="26" t="s">
        <v>63</v>
      </c>
      <c r="C36" s="34">
        <f>'Input data'!C37</f>
        <v>1.716024</v>
      </c>
      <c r="D36" s="100">
        <f>'Input data'!D37</f>
        <v>1.648296</v>
      </c>
      <c r="E36" s="100">
        <f>'Input data'!E37</f>
        <v>1.80772</v>
      </c>
      <c r="F36" s="100">
        <f>'Input data'!F37</f>
        <v>1.9077200000000001</v>
      </c>
      <c r="G36" s="100">
        <f>'Input data'!G37</f>
        <v>1.9077200000000001</v>
      </c>
      <c r="H36" s="34">
        <f t="shared" ref="H36:W36" si="6">H93</f>
        <v>2.0510578068871177</v>
      </c>
      <c r="I36" s="34">
        <f t="shared" si="6"/>
        <v>2.1928297708470597</v>
      </c>
      <c r="J36" s="34">
        <f t="shared" si="6"/>
        <v>2.3254135666366338</v>
      </c>
      <c r="K36" s="34">
        <f>K93</f>
        <v>2.5098713418878855</v>
      </c>
      <c r="L36" s="34">
        <f t="shared" si="6"/>
        <v>2.6663955178642209</v>
      </c>
      <c r="M36" s="34">
        <f t="shared" si="6"/>
        <v>2.7925920653914615</v>
      </c>
      <c r="N36" s="34">
        <f t="shared" si="6"/>
        <v>2.9200112169919779</v>
      </c>
      <c r="O36" s="34">
        <f t="shared" si="6"/>
        <v>2.957866458948514</v>
      </c>
      <c r="P36" s="34">
        <f t="shared" si="6"/>
        <v>2.9904563990186235</v>
      </c>
      <c r="Q36" s="34">
        <f t="shared" si="6"/>
        <v>3.0194942533982752</v>
      </c>
      <c r="R36" s="34">
        <f t="shared" si="6"/>
        <v>3.0490643246675537</v>
      </c>
      <c r="S36" s="34">
        <f t="shared" si="6"/>
        <v>3.0761123771709311</v>
      </c>
      <c r="T36" s="34">
        <f t="shared" si="6"/>
        <v>3.1019794449838178</v>
      </c>
      <c r="U36" s="34">
        <f t="shared" si="6"/>
        <v>3.1205808348496635</v>
      </c>
      <c r="V36" s="34">
        <f t="shared" si="6"/>
        <v>3.1205808479239052</v>
      </c>
      <c r="W36" s="34">
        <f t="shared" si="6"/>
        <v>3.1205808479239052</v>
      </c>
    </row>
    <row r="37" spans="2:51" x14ac:dyDescent="0.2">
      <c r="B37" s="32" t="s">
        <v>94</v>
      </c>
      <c r="C37" s="1"/>
      <c r="D37" s="2">
        <f>'Input data'!D$39</f>
        <v>2.96</v>
      </c>
      <c r="E37" s="2">
        <f>'Input data'!E$39</f>
        <v>3.91</v>
      </c>
      <c r="F37" s="166">
        <f>'Input data'!F$39</f>
        <v>3.3161689999999999</v>
      </c>
      <c r="G37" s="166">
        <f>'Input data'!G$39</f>
        <v>3.3153579999999998</v>
      </c>
      <c r="H37" s="1">
        <f>$G$37+('Input data'!$C$52-$G$37)/($O$10-$G$10)*(H10-$G$10)</f>
        <v>3.381707</v>
      </c>
      <c r="I37" s="1">
        <f>$G$37+('Input data'!$C$52-$G$37)/($O$10-$G$10)*(I10-$G$10)</f>
        <v>3.4480559999999998</v>
      </c>
      <c r="J37" s="1">
        <f>$G$37+('Input data'!$C$52-$G$37)/($O$10-$G$10)*(J10-$G$10)</f>
        <v>3.514405</v>
      </c>
      <c r="K37" s="4">
        <f>IF('Criteria results'!$F$5=4,$G$37+('Input data'!$C$52-$G$37)/($O$10-$G$10)*(K10-$G$10)+0.5,$G$37+('Input data'!$C$52-$G$37)/($O$10-$G$10)*(K10-$G$10))</f>
        <v>4.0807539999999998</v>
      </c>
      <c r="L37" s="4">
        <f>IF('Criteria results'!$F$5=4,$G$37+('Input data'!$C$52-$G$37)/($O$10-$G$10)*(L10-$G$10)+0.5,$G$37+('Input data'!$C$52-$G$37)/($O$10-$G$10)*(L10-$G$10))</f>
        <v>4.1471029999999995</v>
      </c>
      <c r="M37" s="4">
        <f>IF('Criteria results'!$F$5=4,$G$37+('Input data'!$C$52-$G$37)/($O$10-$G$10)*(M10-$G$10)+0.5,$G$37+('Input data'!$C$52-$G$37)/($O$10-$G$10)*(M10-$G$10))</f>
        <v>4.2134520000000002</v>
      </c>
      <c r="N37" s="3">
        <f>IF('Criteria results'!$F$5=4,$G$37+('Input data'!$C$52-$G$37)/($O$10-$G$10)*(N10-$G$10)+0.5,$G$37+('Input data'!$C$52-$G$37)/($O$10-$G$10)*(N10-$G$10)+0.5)</f>
        <v>4.279801</v>
      </c>
      <c r="O37" s="3">
        <f>'Input data'!$C$52+0.5</f>
        <v>4.3461499999999997</v>
      </c>
      <c r="P37" s="3">
        <f>'Baseline NFPC'!P36+0.5</f>
        <v>4.3538425000000007</v>
      </c>
      <c r="Q37" s="3">
        <f>'Baseline NFPC'!Q36+0.5</f>
        <v>4.3615349999999999</v>
      </c>
      <c r="R37" s="3">
        <f>'Baseline NFPC'!R36+0.5</f>
        <v>4.3692275</v>
      </c>
      <c r="S37" s="3">
        <f>'Baseline NFPC'!S36+0.5</f>
        <v>4.3769200000000001</v>
      </c>
      <c r="T37" s="3">
        <f>'Baseline NFPC'!T36+0.5</f>
        <v>4.3846125000000002</v>
      </c>
      <c r="U37" s="3">
        <f>'Baseline NFPC'!U36+0.5</f>
        <v>4.3923050000000003</v>
      </c>
      <c r="V37" s="3">
        <f>'Baseline NFPC'!V36+0.5</f>
        <v>4.3999974999999996</v>
      </c>
      <c r="W37" s="3">
        <f>'Baseline NFPC'!W36+0.5</f>
        <v>4.4076900000000006</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$G$38+('Input data'!$C$53-$G$38)/($O$10-$G$10)*(H10-$G$10)</f>
        <v>2.8050893749999997</v>
      </c>
      <c r="I38" s="1">
        <f>$G$38+('Input data'!$C$53-$G$38)/($O$10-$G$10)*(I10-$G$10)</f>
        <v>2.7938037499999999</v>
      </c>
      <c r="J38" s="1">
        <f>$G$38+('Input data'!$C$53-$G$38)/($O$10-$G$10)*(J10-$G$10)</f>
        <v>2.7825181250000002</v>
      </c>
      <c r="K38" s="4">
        <f>IF('Criteria results'!$F$5=4,$G$38+('Input data'!$C$53-$G$38)/($O$10-$G$10)*(K10-$G$10)+0.5,$G$38+('Input data'!$C$53-$G$38)/($O$10-$G$10)*(K10-$G$10))</f>
        <v>3.2712325</v>
      </c>
      <c r="L38" s="4">
        <f>IF('Criteria results'!$F$5=4,$G$38+('Input data'!$C$53-$G$38)/($O$10-$G$10)*(L10-$G$10)+0.5,$G$38+('Input data'!$C$53-$G$38)/($O$10-$G$10)*(L10-$G$10))</f>
        <v>3.2599468749999998</v>
      </c>
      <c r="M38" s="4">
        <f>IF('Criteria results'!$F$5=4,$G$38+('Input data'!$C$53-$G$38)/($O$10-$G$10)*(M10-$G$10)+0.5,$G$38+('Input data'!$C$53-$G$38)/($O$10-$G$10)*(M10-$G$10))</f>
        <v>3.2486612500000001</v>
      </c>
      <c r="N38" s="3">
        <f>IF('Criteria results'!$F$5=4,$G$38+('Input data'!$C$53-$G$38)/($O$10-$G$10)*(N10-$G$10)+0.5,$G$38+('Input data'!$C$53-$G$38)/($O$10-$G$10)*(N10-$G$10)+0.5)</f>
        <v>3.2373756250000003</v>
      </c>
      <c r="O38" s="3">
        <f>'Input data'!$C$53+0.5</f>
        <v>3.2260900000000001</v>
      </c>
      <c r="P38" s="3">
        <f>'Baseline NFPC'!P37+0.5</f>
        <v>3.1897855000000002</v>
      </c>
      <c r="Q38" s="3">
        <f>'Baseline NFPC'!Q37+0.5</f>
        <v>3.1534810000000002</v>
      </c>
      <c r="R38" s="3">
        <f>'Baseline NFPC'!R37+0.5</f>
        <v>3.1171765000000002</v>
      </c>
      <c r="S38" s="3">
        <f>'Baseline NFPC'!S37+0.5</f>
        <v>3.0808720000000003</v>
      </c>
      <c r="T38" s="3">
        <f>'Baseline NFPC'!T37+0.5</f>
        <v>3.0445675000000003</v>
      </c>
      <c r="U38" s="3">
        <f>'Baseline NFPC'!U37+0.5</f>
        <v>3.0082629999999999</v>
      </c>
      <c r="V38" s="3">
        <f>'Baseline NFPC'!V37+0.5</f>
        <v>2.9719584999999999</v>
      </c>
      <c r="W38" s="3">
        <f>'Baseline NFPC'!W37+0.5</f>
        <v>2.935654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3.8019160000000003E-2</v>
      </c>
      <c r="D39" s="34">
        <f>'Baseline NFPC'!D38</f>
        <v>7.8597440000000005E-2</v>
      </c>
      <c r="E39" s="34">
        <f>'Baseline NFPC'!E38</f>
        <v>5.9475470000000003E-2</v>
      </c>
      <c r="F39" s="34">
        <f>'Baseline NFPC'!F38</f>
        <v>9.6876959999999998E-2</v>
      </c>
      <c r="G39" s="34">
        <f>'Baseline NFPC'!G38</f>
        <v>0.11684023</v>
      </c>
      <c r="H39" s="34">
        <f>'Baseline NFPC'!H38</f>
        <v>0.13811532000000001</v>
      </c>
      <c r="I39" s="34">
        <f>'Baseline NFPC'!I38</f>
        <v>0.13659083</v>
      </c>
      <c r="J39" s="34">
        <f>'Baseline NFPC'!J38</f>
        <v>0.14219135999999999</v>
      </c>
      <c r="K39" s="34">
        <f>'Baseline NFPC'!K38</f>
        <v>0.1389396</v>
      </c>
      <c r="L39" s="34">
        <f>'Baseline NFPC'!L38</f>
        <v>0.12512538000000001</v>
      </c>
      <c r="M39" s="34">
        <f>'Baseline NFPC'!M38</f>
        <v>0.12849179999999999</v>
      </c>
      <c r="N39" s="34">
        <f>'Baseline NFPC'!N38</f>
        <v>7.2085140000000006E-2</v>
      </c>
      <c r="O39" s="34">
        <f>'Baseline NFPC'!O38</f>
        <v>6.8681389999999995E-2</v>
      </c>
      <c r="P39" s="34">
        <f>'Baseline NFPC'!P38</f>
        <v>6.8049499999999999E-2</v>
      </c>
      <c r="Q39" s="34">
        <f>'Baseline NFPC'!Q38</f>
        <v>6.8080779999999994E-2</v>
      </c>
      <c r="R39" s="34">
        <f>'Baseline NFPC'!R38</f>
        <v>6.7666320000000002E-2</v>
      </c>
      <c r="S39" s="34">
        <f>'Baseline NFPC'!S38</f>
        <v>6.9220519999999994E-2</v>
      </c>
      <c r="T39" s="34">
        <f>'Baseline NFPC'!T38</f>
        <v>6.6629789999999994E-2</v>
      </c>
      <c r="U39" s="34">
        <f>'Baseline NFPC'!U38</f>
        <v>6.6434309999999996E-2</v>
      </c>
      <c r="V39" s="34">
        <f>'Baseline NFPC'!V38</f>
        <v>6.6393380000000002E-2</v>
      </c>
      <c r="W39" s="34">
        <f>'Baseline NFPC'!W38</f>
        <v>6.621254E-2</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2.685441</v>
      </c>
      <c r="D42" s="2">
        <f>'Input data'!D42</f>
        <v>6.0659559999999999</v>
      </c>
      <c r="E42" s="2">
        <f>'Input data'!E42</f>
        <v>4.7312440000000002</v>
      </c>
      <c r="F42" s="2">
        <f>'Input data'!F42</f>
        <v>3.7133859999999999</v>
      </c>
      <c r="G42" s="2">
        <f>'Input data'!G42</f>
        <v>2.3751250000000002</v>
      </c>
      <c r="H42" s="1">
        <f>'Baseline NFPC'!H41</f>
        <v>2.3969843750000002</v>
      </c>
      <c r="I42" s="1">
        <f>'Baseline NFPC'!I41</f>
        <v>2.4188437500000002</v>
      </c>
      <c r="J42" s="1">
        <f>'Baseline NFPC'!J41</f>
        <v>2.4407031250000002</v>
      </c>
      <c r="K42" s="1">
        <f>'Baseline NFPC'!K41</f>
        <v>2.4625624999999998</v>
      </c>
      <c r="L42" s="1">
        <f>'Baseline NFPC'!L41</f>
        <v>2.4844218749999998</v>
      </c>
      <c r="M42" s="1">
        <f>'Baseline NFPC'!M41</f>
        <v>2.5062812499999998</v>
      </c>
      <c r="N42" s="1">
        <f>'Baseline NFPC'!N41</f>
        <v>2.5281406249999998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v>
      </c>
      <c r="D43" s="1">
        <f>'Baseline NFPC'!D42</f>
        <v>1</v>
      </c>
      <c r="E43" s="1">
        <f>'Baseline NFPC'!E42</f>
        <v>1</v>
      </c>
      <c r="F43" s="1">
        <f>'Baseline NFPC'!F42</f>
        <v>1</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257</v>
      </c>
      <c r="C48" s="57">
        <f>'Input data'!C50</f>
        <v>0.504</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0</v>
      </c>
      <c r="H50" s="34">
        <f>IF(AND(ABS((H12-G12)-('Input data'!H13-'Input data'!G13))&gt;0.0001,ABS(H12-G12)&gt;0.0001,H$10&gt;$C$5),4,IF(G50=4,3,IF(G50=3,2,IF(G50=2,1,0))))</f>
        <v>0</v>
      </c>
      <c r="I50" s="34">
        <f>IF(AND(ABS((I12-H12)-('Input data'!I13-'Input data'!H13))&gt;0.0001,ABS(I12-H12)&gt;0.0001,I$10&gt;$C$5),4,IF(H50=4,3,IF(H50=3,2,IF(H50=2,1,0))))</f>
        <v>0</v>
      </c>
      <c r="J50" s="34">
        <f>IF(AND(ABS((J12-I12)-('Input data'!J13-'Input data'!I13))&gt;0.0001,ABS(J12-I12)&gt;0.0001,J$10&gt;$C$5),4,IF(I50=4,3,IF(I50=3,2,IF(I50=2,1,0))))</f>
        <v>0</v>
      </c>
      <c r="K50" s="34">
        <f>IF(AND(ABS((K12-J12)-('Input data'!K13-'Input data'!J13))&gt;0.0001,ABS(K12-J12)&gt;0.0001,K$10&gt;$C$5),4,IF(J50=4,3,IF(J50=3,2,IF(J50=2,1,0))))</f>
        <v>0</v>
      </c>
      <c r="L50" s="34">
        <f>IF(AND(ABS((L12-K12)-('Input data'!L13-'Input data'!K13))&gt;0.0001,ABS(L12-K12)&gt;0.0001,L$10&gt;$C$5),4,IF(K50=4,3,IF(K50=3,2,IF(K50=2,1,0))))</f>
        <v>0</v>
      </c>
      <c r="M50" s="34">
        <f>IF(AND(ABS((M12-L12)-('Input data'!M13-'Input data'!L13))&gt;0.0001,ABS(M12-L12)&gt;0.0001,M$10&gt;$C$5),4,IF(L50=4,3,IF(L50=3,2,IF(L50=2,1,0))))</f>
        <v>0</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7">IF(C50=4,2/3*C30,IF(C50=3,1/3*B30,0))</f>
        <v>0</v>
      </c>
      <c r="E51" s="34">
        <f t="shared" si="7"/>
        <v>0</v>
      </c>
      <c r="F51" s="34">
        <f t="shared" si="7"/>
        <v>0</v>
      </c>
      <c r="G51" s="34">
        <f t="shared" si="7"/>
        <v>0</v>
      </c>
      <c r="H51" s="34">
        <f t="shared" si="7"/>
        <v>0</v>
      </c>
      <c r="I51" s="34">
        <f t="shared" si="7"/>
        <v>0</v>
      </c>
      <c r="J51" s="34">
        <f t="shared" si="7"/>
        <v>0</v>
      </c>
      <c r="K51" s="34">
        <f t="shared" si="7"/>
        <v>0</v>
      </c>
      <c r="L51" s="34">
        <f t="shared" si="7"/>
        <v>0</v>
      </c>
      <c r="M51" s="34">
        <f t="shared" si="7"/>
        <v>0</v>
      </c>
      <c r="N51" s="34">
        <f t="shared" si="7"/>
        <v>0</v>
      </c>
      <c r="O51" s="34">
        <f t="shared" si="7"/>
        <v>0</v>
      </c>
      <c r="P51" s="34">
        <f t="shared" si="7"/>
        <v>0</v>
      </c>
      <c r="Q51" s="34">
        <f t="shared" si="7"/>
        <v>0</v>
      </c>
      <c r="R51" s="34">
        <f t="shared" si="7"/>
        <v>0</v>
      </c>
      <c r="S51" s="34">
        <f t="shared" si="7"/>
        <v>0</v>
      </c>
      <c r="T51" s="34">
        <f t="shared" si="7"/>
        <v>0</v>
      </c>
      <c r="U51" s="34">
        <f t="shared" si="7"/>
        <v>0</v>
      </c>
      <c r="V51" s="34">
        <f t="shared" si="7"/>
        <v>0</v>
      </c>
      <c r="W51" s="34">
        <f t="shared" si="7"/>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5.0579340000000004</v>
      </c>
      <c r="E52" s="34">
        <f>'Input data'!E30-$C$47*((E12-D12)-('Input data'!E13-'Input data'!D13))</f>
        <v>2.4612370000000001</v>
      </c>
      <c r="F52" s="34">
        <f>'Input data'!F30-$C$47*((F12-E12)-('Input data'!F13-'Input data'!E13))</f>
        <v>2.7786170000000001</v>
      </c>
      <c r="G52" s="34">
        <f>'Input data'!G30-$C$47*((G12-F12))</f>
        <v>3.0115460000000001</v>
      </c>
      <c r="H52" s="34">
        <f>'Input data'!H30-$C$47*((H12-G12))</f>
        <v>2.198547</v>
      </c>
      <c r="I52" s="34">
        <f>'Input data'!I30-$C$47*((I12-H12))</f>
        <v>1.541577</v>
      </c>
      <c r="J52" s="34">
        <f>'Input data'!J30-$C$47*((J12-I12))</f>
        <v>1.5989310000000001</v>
      </c>
      <c r="K52" s="4">
        <f>'Adverse (r-g)'!K24-$C$47*(K12-J12)</f>
        <v>1.1630259999999999</v>
      </c>
      <c r="L52" s="4">
        <f>'Adverse (r-g)'!L24-$C$47*(L12-K12)</f>
        <v>1.0770960000000001</v>
      </c>
      <c r="M52" s="4">
        <f>'Adverse (r-g)'!M24-$C$47*(M12-L12)</f>
        <v>1.0250999999999999</v>
      </c>
      <c r="N52" s="4">
        <f>'Adverse (r-g)'!N24-$C$47*((N12-M12))</f>
        <v>0.99967099999999998</v>
      </c>
      <c r="O52" s="4">
        <f>'Adverse (r-g)'!O24-$C$47*((O12-N12))</f>
        <v>0.97245099999999995</v>
      </c>
      <c r="P52" s="4">
        <f>'Adverse (r-g)'!P24-$C$47*((P12-O12))</f>
        <v>1.0369170000000001</v>
      </c>
      <c r="Q52" s="4">
        <f>'Adverse (r-g)'!Q24-$C$47*((Q12-P12))</f>
        <v>1.1013869999999999</v>
      </c>
      <c r="R52" s="4">
        <f>'Adverse (r-g)'!R24-$C$47*((R12-Q12))</f>
        <v>1.1658569999999999</v>
      </c>
      <c r="S52" s="4">
        <f>'Adverse (r-g)'!S24-$C$47*((S12-R12))</f>
        <v>1.2527699999999999</v>
      </c>
      <c r="T52" s="4">
        <f>'Adverse (r-g)'!T24-$C$47*((T12-S12))</f>
        <v>1.306942</v>
      </c>
      <c r="U52" s="4">
        <f>'Adverse (r-g)'!U24-$C$47*((U12-T12))</f>
        <v>1.3724879999999999</v>
      </c>
      <c r="V52" s="4">
        <f>'Adverse (r-g)'!V24-$C$47*((V12-U12))</f>
        <v>1.442307</v>
      </c>
      <c r="W52" s="4">
        <f>'Adverse (r-g)'!W24-$C$47*((W12-V12))</f>
        <v>1.4095040000000001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99.250230000000002</v>
      </c>
      <c r="D57" s="45">
        <f>+C57+D58</f>
        <v>85.595287844886869</v>
      </c>
      <c r="E57" s="45">
        <f>+D57+E58</f>
        <v>77.284440321959977</v>
      </c>
      <c r="F57" s="45">
        <f t="shared" ref="F57:T57" si="8">+E57+F58</f>
        <v>70.579945075187567</v>
      </c>
      <c r="G57" s="45">
        <f t="shared" si="8"/>
        <v>65.467738950078513</v>
      </c>
      <c r="H57" s="45">
        <f t="shared" si="8"/>
        <v>59.99104804318636</v>
      </c>
      <c r="I57" s="45">
        <f t="shared" si="8"/>
        <v>55.344336413083951</v>
      </c>
      <c r="J57" s="45">
        <f t="shared" si="8"/>
        <v>50.929639670376446</v>
      </c>
      <c r="K57" s="45">
        <f t="shared" si="8"/>
        <v>46.770407165803704</v>
      </c>
      <c r="L57" s="45">
        <f t="shared" si="8"/>
        <v>43.000739439655369</v>
      </c>
      <c r="M57" s="45">
        <f t="shared" si="8"/>
        <v>39.573930780595369</v>
      </c>
      <c r="N57" s="45">
        <f t="shared" si="8"/>
        <v>36.419535848235981</v>
      </c>
      <c r="O57" s="46">
        <f t="shared" si="8"/>
        <v>33.53605662932501</v>
      </c>
      <c r="P57" s="46">
        <f t="shared" si="8"/>
        <v>30.82383259659192</v>
      </c>
      <c r="Q57" s="46">
        <f t="shared" si="8"/>
        <v>28.341342255802221</v>
      </c>
      <c r="R57" s="46">
        <f t="shared" si="8"/>
        <v>26.020025641302034</v>
      </c>
      <c r="S57" s="46">
        <f t="shared" si="8"/>
        <v>23.820386623441227</v>
      </c>
      <c r="T57" s="46">
        <f t="shared" si="8"/>
        <v>21.742864204668575</v>
      </c>
      <c r="U57" s="46">
        <f t="shared" ref="U57" si="9">+T57+U58</f>
        <v>19.475838819227501</v>
      </c>
      <c r="V57" s="46">
        <f t="shared" ref="V57" si="10">+U57+V58</f>
        <v>17.40499483324998</v>
      </c>
      <c r="W57" s="46">
        <f t="shared" ref="W57" si="11">+V57+W58</f>
        <v>15.378061651375193</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-13.654942155113138</v>
      </c>
      <c r="E58" s="47">
        <f>-E59+E67+E72</f>
        <v>-8.3108475229268937</v>
      </c>
      <c r="F58" s="47">
        <f t="shared" ref="F58:T58" si="12">-F59+F67+F72</f>
        <v>-6.7044952467724048</v>
      </c>
      <c r="G58" s="47">
        <f t="shared" si="12"/>
        <v>-5.1122061251090507</v>
      </c>
      <c r="H58" s="47">
        <f t="shared" si="12"/>
        <v>-5.4766909068921494</v>
      </c>
      <c r="I58" s="47">
        <f t="shared" si="12"/>
        <v>-4.6467116301024092</v>
      </c>
      <c r="J58" s="47">
        <f t="shared" si="12"/>
        <v>-4.4146967427075072</v>
      </c>
      <c r="K58" s="47">
        <f t="shared" si="12"/>
        <v>-4.1592325045727412</v>
      </c>
      <c r="L58" s="47">
        <f t="shared" si="12"/>
        <v>-3.7696677261483318</v>
      </c>
      <c r="M58" s="47">
        <f t="shared" si="12"/>
        <v>-3.4268086590600033</v>
      </c>
      <c r="N58" s="47">
        <f t="shared" si="12"/>
        <v>-3.1543949323593847</v>
      </c>
      <c r="O58" s="47">
        <f t="shared" si="12"/>
        <v>-2.8834792189109719</v>
      </c>
      <c r="P58" s="47">
        <f t="shared" si="12"/>
        <v>-2.7122240327330882</v>
      </c>
      <c r="Q58" s="47">
        <f t="shared" si="12"/>
        <v>-2.482490340789699</v>
      </c>
      <c r="R58" s="47">
        <f t="shared" si="12"/>
        <v>-2.3213166145001889</v>
      </c>
      <c r="S58" s="47">
        <f t="shared" si="12"/>
        <v>-2.1996390178608074</v>
      </c>
      <c r="T58" s="47">
        <f t="shared" si="12"/>
        <v>-2.0775224187726531</v>
      </c>
      <c r="U58" s="47">
        <f t="shared" ref="U58:W58" si="13">-U59+U67+U72</f>
        <v>-2.267025385441074</v>
      </c>
      <c r="V58" s="47">
        <f t="shared" si="13"/>
        <v>-2.0708439859775201</v>
      </c>
      <c r="W58" s="47">
        <f t="shared" si="13"/>
        <v>-2.0269331818747869</v>
      </c>
    </row>
    <row r="59" spans="2:48" outlineLevel="1" x14ac:dyDescent="0.2">
      <c r="B59" s="84" t="s">
        <v>106</v>
      </c>
      <c r="C59" s="48"/>
      <c r="D59" s="48">
        <f>D60+D61-D62-D63-D64-D65-D66</f>
        <v>4.1969893551131312</v>
      </c>
      <c r="E59" s="48">
        <f t="shared" ref="E59:T59" si="14">E60+E61-E62-E63-E64-E65-E66</f>
        <v>4.5240515229268894</v>
      </c>
      <c r="F59" s="48">
        <f t="shared" si="14"/>
        <v>4.2972697467724092</v>
      </c>
      <c r="G59" s="48">
        <f t="shared" si="14"/>
        <v>4.0366541251090524</v>
      </c>
      <c r="H59" s="48">
        <f t="shared" si="14"/>
        <v>3.8519046672059583</v>
      </c>
      <c r="I59" s="48">
        <f t="shared" si="14"/>
        <v>3.6055675238428302</v>
      </c>
      <c r="J59" s="48">
        <f t="shared" si="14"/>
        <v>3.4823997525488415</v>
      </c>
      <c r="K59" s="48">
        <f t="shared" si="14"/>
        <v>3.5969620525488404</v>
      </c>
      <c r="L59" s="48">
        <f t="shared" si="14"/>
        <v>3.3534353498073233</v>
      </c>
      <c r="M59" s="48">
        <f t="shared" si="14"/>
        <v>3.1093677498073244</v>
      </c>
      <c r="N59" s="48">
        <f t="shared" si="14"/>
        <v>2.9124590517843671</v>
      </c>
      <c r="O59" s="48">
        <f t="shared" si="14"/>
        <v>2.6761823500763793</v>
      </c>
      <c r="P59" s="48">
        <f t="shared" si="14"/>
        <v>2.5195536524213296</v>
      </c>
      <c r="Q59" s="48">
        <f t="shared" si="14"/>
        <v>2.3027144568930846</v>
      </c>
      <c r="R59" s="48">
        <f t="shared" si="14"/>
        <v>2.1537052623179371</v>
      </c>
      <c r="S59" s="48">
        <f t="shared" si="14"/>
        <v>2.0372761690257386</v>
      </c>
      <c r="T59" s="48">
        <f t="shared" si="14"/>
        <v>1.9285189665236504</v>
      </c>
      <c r="U59" s="48">
        <f t="shared" ref="U59:W59" si="15">U60+U61-U62-U63-U64-U65-U66</f>
        <v>2.1267432552286185</v>
      </c>
      <c r="V59" s="48">
        <f t="shared" si="15"/>
        <v>1.9370655552286138</v>
      </c>
      <c r="W59" s="48">
        <f t="shared" si="15"/>
        <v>1.9176173582338463</v>
      </c>
    </row>
    <row r="60" spans="2:48" outlineLevel="1" x14ac:dyDescent="0.2">
      <c r="B60" s="79" t="s">
        <v>107</v>
      </c>
      <c r="C60" s="1"/>
      <c r="D60" s="1">
        <f>D12</f>
        <v>2.087558</v>
      </c>
      <c r="E60" s="1">
        <f>E12</f>
        <v>3.2270470000000002</v>
      </c>
      <c r="F60" s="1">
        <f>F12</f>
        <v>3.482405</v>
      </c>
      <c r="G60" s="1">
        <f t="shared" ref="G60:W60" si="16">IF(G12="",F60,G12)</f>
        <v>3.482405</v>
      </c>
      <c r="H60" s="1">
        <f t="shared" si="16"/>
        <v>3.482405</v>
      </c>
      <c r="I60" s="1">
        <f t="shared" si="16"/>
        <v>3.482405</v>
      </c>
      <c r="J60" s="1">
        <f t="shared" si="16"/>
        <v>3.482405</v>
      </c>
      <c r="K60" s="1">
        <f t="shared" si="16"/>
        <v>3.482405</v>
      </c>
      <c r="L60" s="1">
        <f t="shared" si="16"/>
        <v>3.482405</v>
      </c>
      <c r="M60" s="1">
        <f t="shared" si="16"/>
        <v>3.482405</v>
      </c>
      <c r="N60" s="1">
        <f t="shared" si="16"/>
        <v>3.482405</v>
      </c>
      <c r="O60" s="1">
        <f t="shared" si="16"/>
        <v>3.482405</v>
      </c>
      <c r="P60" s="1">
        <f t="shared" si="16"/>
        <v>3.482405</v>
      </c>
      <c r="Q60" s="1">
        <f t="shared" si="16"/>
        <v>3.482405</v>
      </c>
      <c r="R60" s="1">
        <f t="shared" si="16"/>
        <v>3.482405</v>
      </c>
      <c r="S60" s="1">
        <f t="shared" si="16"/>
        <v>3.482405</v>
      </c>
      <c r="T60" s="1">
        <f t="shared" si="16"/>
        <v>3.482405</v>
      </c>
      <c r="U60" s="1">
        <f t="shared" si="16"/>
        <v>3.482405</v>
      </c>
      <c r="V60" s="1">
        <f t="shared" si="16"/>
        <v>3.482405</v>
      </c>
      <c r="W60" s="1">
        <f t="shared" si="16"/>
        <v>3.482405</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-2.1094313551131312</v>
      </c>
      <c r="E62" s="1">
        <f t="shared" si="17"/>
        <v>-1.2970045229268887</v>
      </c>
      <c r="F62" s="1">
        <f t="shared" si="17"/>
        <v>-0.81486474677240894</v>
      </c>
      <c r="G62" s="1">
        <f t="shared" si="17"/>
        <v>-0.55424912510905266</v>
      </c>
      <c r="H62" s="1">
        <f t="shared" si="17"/>
        <v>-0.36949966720595828</v>
      </c>
      <c r="I62" s="1">
        <f t="shared" si="17"/>
        <v>-0.12316252384283022</v>
      </c>
      <c r="J62" s="1">
        <f t="shared" si="17"/>
        <v>5.2474511583966429E-6</v>
      </c>
      <c r="K62" s="1">
        <f t="shared" si="17"/>
        <v>5.2474511583966429E-6</v>
      </c>
      <c r="L62" s="1">
        <f t="shared" si="17"/>
        <v>4.2501926738047757E-6</v>
      </c>
      <c r="M62" s="1">
        <f t="shared" si="17"/>
        <v>4.2501926738047757E-6</v>
      </c>
      <c r="N62" s="1">
        <f t="shared" si="17"/>
        <v>5.2482156300825977E-6</v>
      </c>
      <c r="O62" s="1">
        <f t="shared" si="17"/>
        <v>4.2499236186266389E-6</v>
      </c>
      <c r="P62" s="1">
        <f t="shared" si="17"/>
        <v>5.2475786636030364E-6</v>
      </c>
      <c r="Q62" s="1">
        <f t="shared" si="17"/>
        <v>6.7431069088463857E-6</v>
      </c>
      <c r="R62" s="1">
        <f t="shared" si="17"/>
        <v>8.2376820572882533E-6</v>
      </c>
      <c r="S62" s="1">
        <f t="shared" si="17"/>
        <v>9.7309742527862404E-6</v>
      </c>
      <c r="T62" s="1">
        <f t="shared" si="17"/>
        <v>9.2334763499124513E-6</v>
      </c>
      <c r="U62" s="1">
        <f t="shared" si="17"/>
        <v>7.2447713788115209E-6</v>
      </c>
      <c r="V62" s="1">
        <f t="shared" si="17"/>
        <v>7.2447713788115209E-6</v>
      </c>
      <c r="W62" s="1">
        <f t="shared" si="17"/>
        <v>7.7417661489498354E-6</v>
      </c>
    </row>
    <row r="63" spans="2:48" outlineLevel="1" x14ac:dyDescent="0.2">
      <c r="B63" s="79" t="s">
        <v>110</v>
      </c>
      <c r="C63" s="1"/>
      <c r="D63" s="1">
        <f t="shared" ref="D63:W63" si="18">-D13</f>
        <v>0</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-0.12070999999999898</v>
      </c>
      <c r="L64" s="1">
        <f>IF(L$56&lt;=$C$6,0,HLOOKUP(L$56,'Input data'!$C$9:$BB$26,12,FALSE)-HLOOKUP($C$6,'Input data'!$C$9:$BB$26,12,FALSE))</f>
        <v>0.11667000000000272</v>
      </c>
      <c r="M64" s="1">
        <f>IF(M$56&lt;=$C$6,0,HLOOKUP(M$56,'Input data'!$C$9:$BB$26,12,FALSE)-HLOOKUP($C$6,'Input data'!$C$9:$BB$26,12,FALSE))</f>
        <v>0.35459000000000174</v>
      </c>
      <c r="N64" s="1">
        <f>IF(N$56&lt;=$C$6,0,HLOOKUP(N$56,'Input data'!$C$9:$BB$26,12,FALSE)-HLOOKUP($C$6,'Input data'!$C$9:$BB$26,12,FALSE))</f>
        <v>0.54535000000000267</v>
      </c>
      <c r="O64" s="1">
        <f>IF(O$56&lt;=$C$6,0,HLOOKUP(O$56,'Input data'!$C$9:$BB$26,12,FALSE)-HLOOKUP($C$6,'Input data'!$C$9:$BB$26,12,FALSE))</f>
        <v>0.77548000000000172</v>
      </c>
      <c r="P64" s="1">
        <f>IF(P$56&lt;=$C$6,0,HLOOKUP(P$56,'Input data'!$C$9:$BB$26,12,FALSE)-HLOOKUP($C$6,'Input data'!$C$9:$BB$26,12,FALSE))</f>
        <v>0.925960000000007</v>
      </c>
      <c r="Q64" s="1">
        <f>IF(Q$56&lt;=$C$6,0,HLOOKUP(Q$56,'Input data'!$C$9:$BB$26,12,FALSE)-HLOOKUP($C$6,'Input data'!$C$9:$BB$26,12,FALSE))</f>
        <v>1.1366500000000066</v>
      </c>
      <c r="R64" s="1">
        <f>IF(R$56&lt;=$C$6,0,HLOOKUP(R$56,'Input data'!$C$9:$BB$26,12,FALSE)-HLOOKUP($C$6,'Input data'!$C$9:$BB$26,12,FALSE))</f>
        <v>1.2795100000000055</v>
      </c>
      <c r="S64" s="1">
        <f>IF(S$56&lt;=$C$6,0,HLOOKUP(S$56,'Input data'!$C$9:$BB$26,12,FALSE)-HLOOKUP($C$6,'Input data'!$C$9:$BB$26,12,FALSE))</f>
        <v>1.3897900000000085</v>
      </c>
      <c r="T64" s="1">
        <f>IF(T$56&lt;=$C$6,0,HLOOKUP(T$56,'Input data'!$C$9:$BB$26,12,FALSE)-HLOOKUP($C$6,'Input data'!$C$9:$BB$26,12,FALSE))</f>
        <v>1.4923999999999999</v>
      </c>
      <c r="U64" s="1">
        <f>IF(U$56&lt;=$C$6,0,HLOOKUP(U$56,'Input data'!$C$9:$BB$26,12,FALSE)-HLOOKUP($C$6,'Input data'!$C$9:$BB$26,12,FALSE))</f>
        <v>1.2880300000000027</v>
      </c>
      <c r="V64" s="1">
        <f>IF(V$56&lt;=$C$6,0,HLOOKUP(V$56,'Input data'!$C$9:$BB$26,12,FALSE)-HLOOKUP($C$6,'Input data'!$C$9:$BB$26,12,FALSE))</f>
        <v>1.4715600000000073</v>
      </c>
      <c r="W64" s="1">
        <f>IF(W$56&lt;=$C$6,0,HLOOKUP(W$56,'Input data'!$C$9:$BB$26,12,FALSE)-HLOOKUP($C$6,'Input data'!$C$9:$BB$26,12,FALSE))</f>
        <v>1.4848600000000047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6.1476999999999782E-3</v>
      </c>
      <c r="L65" s="1">
        <f>IF(L$56&lt;=$C$6,0,-HLOOKUP(L$56,'Input data'!$C$9:$BB$26,18,FALSE)+HLOOKUP($C$6,'Input data'!$C$9:$BB$26,18,FALSE))</f>
        <v>1.2295400000000012E-2</v>
      </c>
      <c r="M65" s="1">
        <f>IF(M$56&lt;=$C$6,0,-HLOOKUP(M$56,'Input data'!$C$9:$BB$26,18,FALSE)+HLOOKUP($C$6,'Input data'!$C$9:$BB$26,18,FALSE))</f>
        <v>1.8442999999999987E-2</v>
      </c>
      <c r="N65" s="1">
        <f>IF(N$56&lt;=$C$6,0,-HLOOKUP(N$56,'Input data'!$C$9:$BB$26,18,FALSE)+HLOOKUP($C$6,'Input data'!$C$9:$BB$26,18,FALSE))</f>
        <v>2.4590700000000021E-2</v>
      </c>
      <c r="O65" s="1">
        <f>IF(O$56&lt;=$C$6,0,-HLOOKUP(O$56,'Input data'!$C$9:$BB$26,18,FALSE)+HLOOKUP($C$6,'Input data'!$C$9:$BB$26,18,FALSE))</f>
        <v>3.0738399999999999E-2</v>
      </c>
      <c r="P65" s="1">
        <f>IF(P$56&lt;=$C$6,0,-HLOOKUP(P$56,'Input data'!$C$9:$BB$26,18,FALSE)+HLOOKUP($C$6,'Input data'!$C$9:$BB$26,18,FALSE))</f>
        <v>3.6886100000000033E-2</v>
      </c>
      <c r="Q65" s="1">
        <f>IF(Q$56&lt;=$C$6,0,-HLOOKUP(Q$56,'Input data'!$C$9:$BB$26,18,FALSE)+HLOOKUP($C$6,'Input data'!$C$9:$BB$26,18,FALSE))</f>
        <v>4.3033800000000011E-2</v>
      </c>
      <c r="R65" s="1">
        <f>IF(R$56&lt;=$C$6,0,-HLOOKUP(R$56,'Input data'!$C$9:$BB$26,18,FALSE)+HLOOKUP($C$6,'Input data'!$C$9:$BB$26,18,FALSE))</f>
        <v>4.9181499999999989E-2</v>
      </c>
      <c r="S65" s="1">
        <f>IF(S$56&lt;=$C$6,0,-HLOOKUP(S$56,'Input data'!$C$9:$BB$26,18,FALSE)+HLOOKUP($C$6,'Input data'!$C$9:$BB$26,18,FALSE))</f>
        <v>5.532910000000002E-2</v>
      </c>
      <c r="T65" s="1">
        <f>IF(T$56&lt;=$C$6,0,-HLOOKUP(T$56,'Input data'!$C$9:$BB$26,18,FALSE)+HLOOKUP($C$6,'Input data'!$C$9:$BB$26,18,FALSE))</f>
        <v>6.1476799999999998E-2</v>
      </c>
      <c r="U65" s="1">
        <f>IF(U$56&lt;=$C$6,0,-HLOOKUP(U$56,'Input data'!$C$9:$BB$26,18,FALSE)+HLOOKUP($C$6,'Input data'!$C$9:$BB$26,18,FALSE))</f>
        <v>6.7624500000000032E-2</v>
      </c>
      <c r="V65" s="1">
        <f>IF(V$56&lt;=$C$6,0,-HLOOKUP(V$56,'Input data'!$C$9:$BB$26,18,FALSE)+HLOOKUP($C$6,'Input data'!$C$9:$BB$26,18,FALSE))</f>
        <v>7.377220000000001E-2</v>
      </c>
      <c r="W65" s="1">
        <f>IF(W$56&lt;=$C$6,0,-HLOOKUP(W$56,'Input data'!$C$9:$BB$26,18,FALSE)+HLOOKUP($C$6,'Input data'!$C$9:$BB$26,18,FALSE))</f>
        <v>7.9919899999999988E-2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4" t="s">
        <v>114</v>
      </c>
      <c r="C67" s="48"/>
      <c r="D67" s="48">
        <f t="shared" ref="D67:T67" si="19">SUM(D68:D71)</f>
        <v>-8.7130920000000067</v>
      </c>
      <c r="E67" s="48">
        <f>SUM(E68:E71)</f>
        <v>-4.3880540000000039</v>
      </c>
      <c r="F67" s="48">
        <f t="shared" si="19"/>
        <v>-3.3985389999999955</v>
      </c>
      <c r="G67" s="48">
        <f t="shared" si="19"/>
        <v>-2.376224999999998</v>
      </c>
      <c r="H67" s="48">
        <f t="shared" si="19"/>
        <v>-1.624786239686191</v>
      </c>
      <c r="I67" s="48">
        <f t="shared" si="19"/>
        <v>-1.0411441062595792</v>
      </c>
      <c r="J67" s="48">
        <f t="shared" si="19"/>
        <v>-0.93229699015866618</v>
      </c>
      <c r="K67" s="48">
        <f t="shared" si="19"/>
        <v>-0.56227045202390113</v>
      </c>
      <c r="L67" s="48">
        <f t="shared" si="19"/>
        <v>-0.41623237634100874</v>
      </c>
      <c r="M67" s="48">
        <f t="shared" si="19"/>
        <v>-0.31744090925267909</v>
      </c>
      <c r="N67" s="48">
        <f t="shared" si="19"/>
        <v>-0.24193588057501758</v>
      </c>
      <c r="O67" s="48">
        <f t="shared" si="19"/>
        <v>-0.20729686883459253</v>
      </c>
      <c r="P67" s="48">
        <f t="shared" si="19"/>
        <v>-0.19267038031175876</v>
      </c>
      <c r="Q67" s="48">
        <f t="shared" si="19"/>
        <v>-0.17977588389661425</v>
      </c>
      <c r="R67" s="48">
        <f t="shared" si="19"/>
        <v>-0.16761135218225198</v>
      </c>
      <c r="S67" s="48">
        <f t="shared" si="19"/>
        <v>-0.16236284883506896</v>
      </c>
      <c r="T67" s="48">
        <f t="shared" si="19"/>
        <v>-0.14900345224900263</v>
      </c>
      <c r="U67" s="48">
        <f t="shared" ref="U67:W67" si="20">SUM(U68:U71)</f>
        <v>-0.14028213021245572</v>
      </c>
      <c r="V67" s="48">
        <f t="shared" si="20"/>
        <v>-0.13377843074890611</v>
      </c>
      <c r="W67" s="48">
        <f t="shared" si="20"/>
        <v>-0.10931582364094039</v>
      </c>
    </row>
    <row r="68" spans="2:23" outlineLevel="1" x14ac:dyDescent="0.2">
      <c r="B68" s="79" t="s">
        <v>115</v>
      </c>
      <c r="C68" s="34"/>
      <c r="D68" s="34">
        <f>C57*D36/100*(1/(1+D33/100))</f>
        <v>1.4681210303537406</v>
      </c>
      <c r="E68" s="34">
        <f>D57*E36/100*(1/(1+E33/100))</f>
        <v>1.4419332710000843</v>
      </c>
      <c r="F68" s="34">
        <f t="shared" ref="F68:W68" si="21">E57*F36/100*(1/(1+F33/100))</f>
        <v>1.3831494751458222</v>
      </c>
      <c r="G68" s="34">
        <f>F57*G36/100*(1/(1+G33/100))</f>
        <v>1.2767786110391002</v>
      </c>
      <c r="H68" s="34">
        <f t="shared" si="21"/>
        <v>1.2831379643233658</v>
      </c>
      <c r="I68" s="34">
        <f t="shared" si="21"/>
        <v>1.2649332113743252</v>
      </c>
      <c r="J68" s="34">
        <f t="shared" si="21"/>
        <v>1.2365500441397024</v>
      </c>
      <c r="K68" s="34">
        <f t="shared" si="21"/>
        <v>1.233204323765186</v>
      </c>
      <c r="L68" s="34">
        <f t="shared" si="21"/>
        <v>1.2038852953731243</v>
      </c>
      <c r="M68" s="34">
        <f t="shared" si="21"/>
        <v>1.1595878497247196</v>
      </c>
      <c r="N68" s="34">
        <f t="shared" si="21"/>
        <v>1.1159138532601431</v>
      </c>
      <c r="O68" s="34">
        <f t="shared" si="21"/>
        <v>1.0403378660076135</v>
      </c>
      <c r="P68" s="34">
        <f t="shared" si="21"/>
        <v>0.96816682107898078</v>
      </c>
      <c r="Q68" s="34">
        <f t="shared" si="21"/>
        <v>0.89817518339973856</v>
      </c>
      <c r="R68" s="34">
        <f t="shared" si="21"/>
        <v>0.83361763984933235</v>
      </c>
      <c r="S68" s="34">
        <f t="shared" si="21"/>
        <v>0.77167322987082776</v>
      </c>
      <c r="T68" s="34">
        <f t="shared" si="21"/>
        <v>0.71218946936470895</v>
      </c>
      <c r="U68" s="34">
        <f t="shared" si="21"/>
        <v>0.6537259881495211</v>
      </c>
      <c r="V68" s="34">
        <f t="shared" si="21"/>
        <v>0.5853192710065025</v>
      </c>
      <c r="W68" s="34">
        <f t="shared" si="21"/>
        <v>0.52339275269231655</v>
      </c>
    </row>
    <row r="69" spans="2:23" outlineLevel="1" x14ac:dyDescent="0.2">
      <c r="B69" s="79" t="s">
        <v>116</v>
      </c>
      <c r="C69" s="34"/>
      <c r="D69" s="34">
        <f t="shared" ref="D69:W69" si="22">-C57*(D23/100)*(1/(1+D33/100))</f>
        <v>-4.5050520510522558</v>
      </c>
      <c r="E69" s="34">
        <f>-D57*(E23/100)*(1/(1+E33/100))</f>
        <v>-1.9632130629281312</v>
      </c>
      <c r="F69" s="34">
        <f t="shared" si="22"/>
        <v>-2.0145737556775893</v>
      </c>
      <c r="G69" s="34">
        <f t="shared" si="22"/>
        <v>-2.0155355707128693</v>
      </c>
      <c r="H69" s="34">
        <f t="shared" si="22"/>
        <v>-1.3754069303052536</v>
      </c>
      <c r="I69" s="34">
        <f t="shared" si="22"/>
        <v>-0.88925824116184615</v>
      </c>
      <c r="J69" s="34">
        <f t="shared" si="22"/>
        <v>-0.85023938407910604</v>
      </c>
      <c r="K69" s="34">
        <f t="shared" si="22"/>
        <v>-0.5714431126069236</v>
      </c>
      <c r="L69" s="34">
        <f t="shared" si="22"/>
        <v>-0.48631196212926375</v>
      </c>
      <c r="M69" s="34">
        <f t="shared" si="22"/>
        <v>-0.42565955818763018</v>
      </c>
      <c r="N69" s="34">
        <f t="shared" si="22"/>
        <v>-0.38203507956095895</v>
      </c>
      <c r="O69" s="34">
        <f t="shared" si="22"/>
        <v>-0.34202950409621152</v>
      </c>
      <c r="P69" s="34">
        <f t="shared" si="22"/>
        <v>-0.33570415403555082</v>
      </c>
      <c r="Q69" s="34">
        <f t="shared" si="22"/>
        <v>-0.327617272199062</v>
      </c>
      <c r="R69" s="34">
        <f t="shared" si="22"/>
        <v>-0.3187466242935994</v>
      </c>
      <c r="S69" s="34">
        <f t="shared" si="22"/>
        <v>-0.31426975144333363</v>
      </c>
      <c r="T69" s="34">
        <f t="shared" si="22"/>
        <v>-0.30006334535054108</v>
      </c>
      <c r="U69" s="34">
        <f t="shared" si="22"/>
        <v>-0.2875205359218288</v>
      </c>
      <c r="V69" s="34">
        <f t="shared" si="22"/>
        <v>-0.27052979010918005</v>
      </c>
      <c r="W69" s="34">
        <f t="shared" si="22"/>
        <v>-0.23640604568269061</v>
      </c>
    </row>
    <row r="70" spans="2:23" outlineLevel="1" x14ac:dyDescent="0.2">
      <c r="B70" s="79" t="s">
        <v>117</v>
      </c>
      <c r="C70" s="34"/>
      <c r="D70" s="34">
        <f t="shared" ref="D70:T70" si="23">-C57*D42/100*(1/(1+D42/100))</f>
        <v>-5.6761618041690971</v>
      </c>
      <c r="E70" s="34">
        <f>-D57*E42/100*(1/(1+E42/100))</f>
        <v>-3.8667753439880266</v>
      </c>
      <c r="F70" s="34">
        <f t="shared" si="23"/>
        <v>-2.7671158929224595</v>
      </c>
      <c r="G70" s="34">
        <f t="shared" si="23"/>
        <v>-1.6374699620313513</v>
      </c>
      <c r="H70" s="34">
        <f t="shared" si="23"/>
        <v>-1.5325172737043031</v>
      </c>
      <c r="I70" s="34">
        <f t="shared" si="23"/>
        <v>-1.4168190764720583</v>
      </c>
      <c r="J70" s="34">
        <f t="shared" si="23"/>
        <v>-1.3186076502192625</v>
      </c>
      <c r="K70" s="34">
        <f t="shared" si="23"/>
        <v>-1.2240316631821635</v>
      </c>
      <c r="L70" s="34">
        <f t="shared" si="23"/>
        <v>-1.1338057095848693</v>
      </c>
      <c r="M70" s="34">
        <f t="shared" si="23"/>
        <v>-1.0513692007897686</v>
      </c>
      <c r="N70" s="34">
        <f t="shared" si="23"/>
        <v>-0.97581465427420178</v>
      </c>
      <c r="O70" s="34">
        <f t="shared" si="23"/>
        <v>-0.90560523074599442</v>
      </c>
      <c r="P70" s="34">
        <f t="shared" si="23"/>
        <v>-0.82513304735518866</v>
      </c>
      <c r="Q70" s="34">
        <f t="shared" si="23"/>
        <v>-0.75033379509729081</v>
      </c>
      <c r="R70" s="34">
        <f t="shared" si="23"/>
        <v>-0.68248236773798499</v>
      </c>
      <c r="S70" s="34">
        <f t="shared" si="23"/>
        <v>-0.61976632726256309</v>
      </c>
      <c r="T70" s="34">
        <f t="shared" si="23"/>
        <v>-0.5611295762631705</v>
      </c>
      <c r="U70" s="34">
        <f t="shared" ref="U70" si="24">-T57*U42/100*(1/(1+U42/100))</f>
        <v>-0.50648758244014802</v>
      </c>
      <c r="V70" s="34">
        <f t="shared" ref="V70" si="25">-U57*V42/100*(1/(1+V42/100))</f>
        <v>-0.44856791164622856</v>
      </c>
      <c r="W70" s="34">
        <f t="shared" ref="W70" si="26">-V57*W42/100*(1/(1+W42/100))</f>
        <v>-0.39630253065056631</v>
      </c>
    </row>
    <row r="71" spans="2:23" outlineLevel="1" x14ac:dyDescent="0.2">
      <c r="B71" s="79" t="s">
        <v>118</v>
      </c>
      <c r="C71" s="49"/>
      <c r="D71" s="49">
        <f>'Baseline NFPC'!D70</f>
        <v>8.24867605331292E-7</v>
      </c>
      <c r="E71" s="49">
        <f>'Baseline NFPC'!E70</f>
        <v>1.1359160696500226E-6</v>
      </c>
      <c r="F71" s="49">
        <f>'Baseline NFPC'!F70</f>
        <v>1.1734542311181428E-6</v>
      </c>
      <c r="G71" s="49">
        <f>'Baseline NFPC'!G70</f>
        <v>1.9217051221431802E-6</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4" t="s">
        <v>119</v>
      </c>
      <c r="C72" s="50"/>
      <c r="D72" s="50">
        <f>'Input data'!D16</f>
        <v>-0.74486079999999999</v>
      </c>
      <c r="E72" s="50">
        <f>'Input data'!E16</f>
        <v>0.60125799999999996</v>
      </c>
      <c r="F72" s="50">
        <f>'Input data'!F16</f>
        <v>0.99131349999999996</v>
      </c>
      <c r="G72" s="50">
        <f>'Input data'!G16</f>
        <v>1.300673</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7">D14</f>
        <v>-0.74485959999999996</v>
      </c>
      <c r="E73" s="34">
        <f t="shared" si="27"/>
        <v>0.60125580000000001</v>
      </c>
      <c r="F73" s="34">
        <f t="shared" si="27"/>
        <v>0.99131420000000003</v>
      </c>
      <c r="G73" s="34">
        <f t="shared" si="27"/>
        <v>1.300675</v>
      </c>
      <c r="H73" s="34">
        <f t="shared" si="27"/>
        <v>0</v>
      </c>
      <c r="I73" s="34">
        <f t="shared" si="27"/>
        <v>0</v>
      </c>
      <c r="J73" s="34">
        <f t="shared" si="27"/>
        <v>0</v>
      </c>
      <c r="K73" s="34">
        <f t="shared" si="27"/>
        <v>0</v>
      </c>
      <c r="L73" s="34">
        <f t="shared" si="27"/>
        <v>0</v>
      </c>
      <c r="M73" s="34">
        <f t="shared" si="27"/>
        <v>0</v>
      </c>
      <c r="N73" s="34">
        <f t="shared" si="27"/>
        <v>0</v>
      </c>
      <c r="O73" s="34">
        <f t="shared" si="27"/>
        <v>0</v>
      </c>
      <c r="P73" s="34">
        <f t="shared" si="27"/>
        <v>0</v>
      </c>
      <c r="Q73" s="34">
        <f t="shared" si="27"/>
        <v>0</v>
      </c>
      <c r="R73" s="34">
        <f t="shared" si="27"/>
        <v>0</v>
      </c>
      <c r="S73" s="34">
        <f t="shared" si="27"/>
        <v>0</v>
      </c>
      <c r="T73" s="34">
        <f t="shared" si="27"/>
        <v>0</v>
      </c>
      <c r="U73" s="34">
        <f t="shared" si="27"/>
        <v>0</v>
      </c>
      <c r="V73" s="34">
        <f t="shared" si="27"/>
        <v>0</v>
      </c>
      <c r="W73" s="34">
        <f t="shared" si="27"/>
        <v>0</v>
      </c>
    </row>
    <row r="74" spans="2:23" outlineLevel="1" x14ac:dyDescent="0.2">
      <c r="B74" s="89" t="s">
        <v>121</v>
      </c>
      <c r="C74" s="49"/>
      <c r="D74" s="49">
        <f>+D72-D73</f>
        <v>-1.2000000000345068E-6</v>
      </c>
      <c r="E74" s="49">
        <f t="shared" ref="E74:T74" si="28">+E72-E73</f>
        <v>2.1999999999522402E-6</v>
      </c>
      <c r="F74" s="49">
        <f t="shared" si="28"/>
        <v>-7.0000000007564012E-7</v>
      </c>
      <c r="G74" s="49">
        <f t="shared" si="28"/>
        <v>-2.0000000000575113E-6</v>
      </c>
      <c r="H74" s="49">
        <f t="shared" si="28"/>
        <v>0</v>
      </c>
      <c r="I74" s="49">
        <f t="shared" si="28"/>
        <v>0</v>
      </c>
      <c r="J74" s="49">
        <f t="shared" si="28"/>
        <v>0</v>
      </c>
      <c r="K74" s="49">
        <f t="shared" si="28"/>
        <v>0</v>
      </c>
      <c r="L74" s="49">
        <f t="shared" si="28"/>
        <v>0</v>
      </c>
      <c r="M74" s="49">
        <f t="shared" si="28"/>
        <v>0</v>
      </c>
      <c r="N74" s="49">
        <f t="shared" si="28"/>
        <v>0</v>
      </c>
      <c r="O74" s="49">
        <f t="shared" si="28"/>
        <v>0</v>
      </c>
      <c r="P74" s="49">
        <f t="shared" si="28"/>
        <v>0</v>
      </c>
      <c r="Q74" s="49">
        <f t="shared" si="28"/>
        <v>0</v>
      </c>
      <c r="R74" s="49">
        <f t="shared" si="28"/>
        <v>0</v>
      </c>
      <c r="S74" s="49">
        <f t="shared" si="28"/>
        <v>0</v>
      </c>
      <c r="T74" s="49">
        <f t="shared" si="28"/>
        <v>0</v>
      </c>
      <c r="U74" s="49">
        <f t="shared" ref="U74:W74" si="29">+U72-U73</f>
        <v>0</v>
      </c>
      <c r="V74" s="49">
        <f t="shared" si="29"/>
        <v>0</v>
      </c>
      <c r="W74" s="49">
        <f t="shared" si="29"/>
        <v>0</v>
      </c>
    </row>
    <row r="76" spans="2:23" x14ac:dyDescent="0.2">
      <c r="B76" s="51" t="s">
        <v>186</v>
      </c>
      <c r="C76" s="51"/>
      <c r="D76" s="51"/>
      <c r="E76" s="51"/>
      <c r="F76" s="51"/>
      <c r="G76" s="51"/>
      <c r="H76" s="51"/>
      <c r="I76" s="51"/>
      <c r="J76" s="51"/>
      <c r="K76" s="51">
        <f t="shared" ref="K76:W76" si="30">IF(K57&lt;J57,0,1)</f>
        <v>0</v>
      </c>
      <c r="L76" s="51">
        <f t="shared" si="30"/>
        <v>0</v>
      </c>
      <c r="M76" s="51">
        <f t="shared" si="30"/>
        <v>0</v>
      </c>
      <c r="N76" s="51">
        <f t="shared" si="30"/>
        <v>0</v>
      </c>
      <c r="O76" s="51">
        <f t="shared" si="30"/>
        <v>0</v>
      </c>
      <c r="P76" s="51">
        <f t="shared" si="30"/>
        <v>0</v>
      </c>
      <c r="Q76" s="51">
        <f t="shared" si="30"/>
        <v>0</v>
      </c>
      <c r="R76" s="51">
        <f t="shared" si="30"/>
        <v>0</v>
      </c>
      <c r="S76" s="51">
        <f t="shared" si="30"/>
        <v>0</v>
      </c>
      <c r="T76" s="51">
        <f t="shared" si="30"/>
        <v>0</v>
      </c>
      <c r="U76" s="51">
        <f t="shared" si="30"/>
        <v>0</v>
      </c>
      <c r="V76" s="51">
        <f t="shared" si="30"/>
        <v>0</v>
      </c>
      <c r="W76" s="51">
        <f t="shared" si="30"/>
        <v>0</v>
      </c>
    </row>
    <row r="77" spans="2:23" x14ac:dyDescent="0.2">
      <c r="D77" s="53"/>
    </row>
    <row r="78" spans="2:23" s="93" customFormat="1" ht="12.75" outlineLevel="1" x14ac:dyDescent="0.2">
      <c r="B78" s="94" t="s">
        <v>124</v>
      </c>
      <c r="C78" s="95"/>
      <c r="E78" s="96"/>
      <c r="F78" s="95"/>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125</v>
      </c>
      <c r="E80" s="29">
        <f t="shared" ref="E80" si="31">IF((E84-D84*E43/((1+E23/100)*(1+E42/100)))&gt;0,1,0)</f>
        <v>0</v>
      </c>
      <c r="F80" s="29">
        <f t="shared" ref="F80" si="32">IF((F84-E84*F43/((1+F23/100)*(1+F42/100)))&gt;0,1,0)</f>
        <v>0</v>
      </c>
      <c r="G80" s="29">
        <f t="shared" ref="G80:W80" si="33">IF((G84-F84*G43/((1+G23/100)*(1+G42/100)))&gt;0,1,0)</f>
        <v>0</v>
      </c>
      <c r="H80" s="29">
        <f t="shared" si="33"/>
        <v>0</v>
      </c>
      <c r="I80" s="29">
        <f t="shared" si="33"/>
        <v>0</v>
      </c>
      <c r="J80" s="29">
        <f t="shared" si="33"/>
        <v>0</v>
      </c>
      <c r="K80" s="29">
        <f t="shared" si="33"/>
        <v>0</v>
      </c>
      <c r="L80" s="29">
        <f t="shared" si="33"/>
        <v>0</v>
      </c>
      <c r="M80" s="29">
        <f t="shared" si="33"/>
        <v>0</v>
      </c>
      <c r="N80" s="29">
        <f t="shared" si="33"/>
        <v>0</v>
      </c>
      <c r="O80" s="29">
        <f t="shared" si="33"/>
        <v>0</v>
      </c>
      <c r="P80" s="29">
        <f t="shared" si="33"/>
        <v>0</v>
      </c>
      <c r="Q80" s="29">
        <f t="shared" si="33"/>
        <v>0</v>
      </c>
      <c r="R80" s="29">
        <f t="shared" si="33"/>
        <v>0</v>
      </c>
      <c r="S80" s="29">
        <f t="shared" si="33"/>
        <v>0</v>
      </c>
      <c r="T80" s="29">
        <f t="shared" si="33"/>
        <v>0</v>
      </c>
      <c r="U80" s="29">
        <f t="shared" si="33"/>
        <v>0</v>
      </c>
      <c r="V80" s="29">
        <f t="shared" si="33"/>
        <v>0</v>
      </c>
      <c r="W80" s="29">
        <f t="shared" si="33"/>
        <v>0</v>
      </c>
    </row>
    <row r="81" spans="2:23" x14ac:dyDescent="0.2">
      <c r="B81" s="26" t="s">
        <v>126</v>
      </c>
      <c r="E81" s="29">
        <f t="shared" ref="E81" si="34">IF(AND(E80=0,ABS(E84-D84*E43/((1+E23/100)*(1+E42/100)))&lt;((D90*D84*E43/((1+E23/100)*(1+E42/100))+(E39*D84*D91*E43/((1+E23/100)*(1+E42/100)))))),1,0)</f>
        <v>1</v>
      </c>
      <c r="F81" s="29">
        <f t="shared" ref="F81" si="35">IF(AND(F80=0,ABS(F84-E84*F43/((1+F23/100)*(1+F42/100)))&lt;((E90*E84*F43/((1+F23/100)*(1+F42/100))+(F39*E84*E91*F43/((1+F23/100)*(1+F42/100)))))),1,0)</f>
        <v>1</v>
      </c>
      <c r="G81" s="29">
        <f t="shared" ref="G81:W81" si="36">IF(AND(G80=0,ABS(G84-F84*G43/((1+G23/100)*(1+G42/100)))&lt;((F90*F84*G43/((1+G23/100)*(1+G42/100))+(G39*F84*F91*G43/((1+G23/100)*(1+G42/100)))))),1,0)</f>
        <v>1</v>
      </c>
      <c r="H81" s="29">
        <f t="shared" si="36"/>
        <v>1</v>
      </c>
      <c r="I81" s="29">
        <f t="shared" si="36"/>
        <v>1</v>
      </c>
      <c r="J81" s="29">
        <f t="shared" si="36"/>
        <v>1</v>
      </c>
      <c r="K81" s="29">
        <f t="shared" si="36"/>
        <v>1</v>
      </c>
      <c r="L81" s="29">
        <f t="shared" si="36"/>
        <v>1</v>
      </c>
      <c r="M81" s="29">
        <f t="shared" si="36"/>
        <v>1</v>
      </c>
      <c r="N81" s="29">
        <f t="shared" si="36"/>
        <v>1</v>
      </c>
      <c r="O81" s="29">
        <f t="shared" si="36"/>
        <v>1</v>
      </c>
      <c r="P81" s="29">
        <f t="shared" si="36"/>
        <v>1</v>
      </c>
      <c r="Q81" s="29">
        <f t="shared" si="36"/>
        <v>1</v>
      </c>
      <c r="R81" s="29">
        <f t="shared" si="36"/>
        <v>1</v>
      </c>
      <c r="S81" s="29">
        <f t="shared" si="36"/>
        <v>1</v>
      </c>
      <c r="T81" s="29">
        <f t="shared" si="36"/>
        <v>1</v>
      </c>
      <c r="U81" s="29">
        <f t="shared" si="36"/>
        <v>0</v>
      </c>
      <c r="V81" s="29">
        <f t="shared" si="36"/>
        <v>0</v>
      </c>
      <c r="W81" s="29">
        <f t="shared" si="36"/>
        <v>0</v>
      </c>
    </row>
    <row r="83" spans="2:23" x14ac:dyDescent="0.2">
      <c r="B83" s="51"/>
      <c r="C83" s="86">
        <v>2021</v>
      </c>
      <c r="D83" s="86">
        <v>2022</v>
      </c>
      <c r="E83" s="86">
        <v>2023</v>
      </c>
      <c r="F83" s="86">
        <v>2024</v>
      </c>
      <c r="G83" s="86">
        <v>2025</v>
      </c>
      <c r="H83" s="86">
        <v>2026</v>
      </c>
      <c r="I83" s="86">
        <v>2027</v>
      </c>
      <c r="J83" s="86">
        <v>2028</v>
      </c>
      <c r="K83" s="86">
        <v>2029</v>
      </c>
      <c r="L83" s="86">
        <v>2030</v>
      </c>
      <c r="M83" s="86">
        <v>2031</v>
      </c>
      <c r="N83" s="86">
        <v>2032</v>
      </c>
      <c r="O83" s="86">
        <v>2033</v>
      </c>
      <c r="P83" s="86">
        <v>2034</v>
      </c>
      <c r="Q83" s="86">
        <v>2035</v>
      </c>
      <c r="R83" s="86">
        <v>2036</v>
      </c>
      <c r="S83" s="86">
        <v>2037</v>
      </c>
      <c r="T83" s="86">
        <v>2038</v>
      </c>
      <c r="U83" s="86">
        <v>2039</v>
      </c>
      <c r="V83" s="86">
        <v>2040</v>
      </c>
      <c r="W83" s="86">
        <v>2041</v>
      </c>
    </row>
    <row r="84" spans="2:23" x14ac:dyDescent="0.2">
      <c r="B84" s="106" t="s">
        <v>104</v>
      </c>
      <c r="C84" s="110">
        <f>C57</f>
        <v>99.250230000000002</v>
      </c>
      <c r="D84" s="110">
        <f>D57</f>
        <v>85.595287844886869</v>
      </c>
      <c r="E84" s="110">
        <f>E57</f>
        <v>77.284440321959977</v>
      </c>
      <c r="F84" s="110">
        <f>F57</f>
        <v>70.579945075187567</v>
      </c>
      <c r="G84" s="110">
        <f>G57</f>
        <v>65.467738950078513</v>
      </c>
      <c r="H84" s="110">
        <f>G84*(1+H98/100)*H43-H60-H61+H62+H63+H64+H65+H66+H72</f>
        <v>59.991048043186375</v>
      </c>
      <c r="I84" s="110">
        <f t="shared" ref="I84:T84" si="37">H84*(1+I98/100)*I43-I60-I61+I62+I63+I64+I65+I66+I72</f>
        <v>55.344336413083951</v>
      </c>
      <c r="J84" s="110">
        <f t="shared" si="37"/>
        <v>50.929639670376446</v>
      </c>
      <c r="K84" s="110">
        <f t="shared" si="37"/>
        <v>46.770407165803704</v>
      </c>
      <c r="L84" s="110">
        <f t="shared" si="37"/>
        <v>43.000739439655376</v>
      </c>
      <c r="M84" s="110">
        <f t="shared" si="37"/>
        <v>39.573930780595369</v>
      </c>
      <c r="N84" s="110">
        <f t="shared" si="37"/>
        <v>36.419535848235974</v>
      </c>
      <c r="O84" s="110">
        <f t="shared" si="37"/>
        <v>33.536056629324996</v>
      </c>
      <c r="P84" s="110">
        <f t="shared" si="37"/>
        <v>30.823832596591906</v>
      </c>
      <c r="Q84" s="110">
        <f t="shared" si="37"/>
        <v>28.341342255802207</v>
      </c>
      <c r="R84" s="110">
        <f t="shared" si="37"/>
        <v>26.020025641302016</v>
      </c>
      <c r="S84" s="110">
        <f t="shared" si="37"/>
        <v>23.820386623441212</v>
      </c>
      <c r="T84" s="110">
        <f t="shared" si="37"/>
        <v>21.742864204668564</v>
      </c>
      <c r="U84" s="110">
        <f>T84*(1+U98/100)*U43-U60-U61+U62+U63+U64+U65+U66+U72</f>
        <v>19.475838819227494</v>
      </c>
      <c r="V84" s="110">
        <f t="shared" ref="V84:W84" si="38">U84*(1+V98/100)*V43-V60-V61+V62+V63+V64+V65+V66+V72</f>
        <v>17.404994833249976</v>
      </c>
      <c r="W84" s="110">
        <f t="shared" si="38"/>
        <v>15.378061651375189</v>
      </c>
    </row>
    <row r="85" spans="2:23" x14ac:dyDescent="0.2">
      <c r="B85" s="26" t="s">
        <v>127</v>
      </c>
      <c r="C85" s="34"/>
      <c r="D85" s="254">
        <f>'Input data'!C66*$D$84</f>
        <v>80.579287385165813</v>
      </c>
      <c r="E85" s="34">
        <f t="shared" ref="E85" si="39">IF(E84=0,0,IF(E80=1,D84*E43/((1+E23/100)*(1+E42/100))-E86-E87,IF(AND(E80=0,E81=1),(1-D90-E39*D91)*D84*E43/((1+E23/100)*(1+E42/100)),E84)))</f>
        <v>74.184299752358967</v>
      </c>
      <c r="F85" s="34">
        <f t="shared" ref="F85" si="40">IF(F84=0,0,IF(F80=1,E84*F43/((1+F23/100)*(1+F42/100))-F86-F87,IF(AND(F80=0,F81=1),(1-E90-F39*E91)*E84*F43/((1+F23/100)*(1+F42/100)),F84)))</f>
        <v>65.060117711874639</v>
      </c>
      <c r="G85" s="34">
        <f t="shared" ref="G85" si="41">IF(G84=0,0,IF(G80=1,F84*G43/((1+G23/100)*(1+G42/100))-G86-G87,IF(AND(G80=0,G81=1),(1-F90-G39*F91)*F84*G43/((1+G23/100)*(1+G42/100)),G84)))</f>
        <v>58.819172918048189</v>
      </c>
      <c r="H85" s="34">
        <f t="shared" ref="H85:W85" si="42">IF(H84=0,0,IF(H80=1,G84*H43/((1+H23/100)*(1+H42/100))-H86-H87,IF(AND(H80=0,H81=1),(1-G90-H39*G91)*G84*H43/((1+H23/100)*(1+H42/100)),H84)))</f>
        <v>53.699099566552945</v>
      </c>
      <c r="I85" s="34">
        <f t="shared" si="42"/>
        <v>49.655082806150212</v>
      </c>
      <c r="J85" s="34">
        <f t="shared" si="42"/>
        <v>45.512505366619386</v>
      </c>
      <c r="K85" s="34">
        <f t="shared" si="42"/>
        <v>42.237732016313998</v>
      </c>
      <c r="L85" s="34">
        <f t="shared" si="42"/>
        <v>39.455876159863479</v>
      </c>
      <c r="M85" s="34">
        <f t="shared" si="42"/>
        <v>36.161327684201979</v>
      </c>
      <c r="N85" s="34">
        <f t="shared" si="42"/>
        <v>35.443650375392309</v>
      </c>
      <c r="O85" s="34">
        <f t="shared" si="42"/>
        <v>32.750234679443707</v>
      </c>
      <c r="P85" s="34">
        <f t="shared" si="42"/>
        <v>30.170217507610236</v>
      </c>
      <c r="Q85" s="34">
        <f t="shared" si="42"/>
        <v>27.72021967697825</v>
      </c>
      <c r="R85" s="34">
        <f t="shared" si="42"/>
        <v>25.489948895967114</v>
      </c>
      <c r="S85" s="34">
        <f t="shared" si="42"/>
        <v>23.349480332934274</v>
      </c>
      <c r="T85" s="34">
        <f t="shared" si="42"/>
        <v>21.429415917659824</v>
      </c>
      <c r="U85" s="34">
        <f t="shared" si="42"/>
        <v>19.475838819227494</v>
      </c>
      <c r="V85" s="34">
        <f t="shared" si="42"/>
        <v>17.404994833249976</v>
      </c>
      <c r="W85" s="34">
        <f t="shared" si="42"/>
        <v>15.378061651375189</v>
      </c>
    </row>
    <row r="86" spans="2:23" x14ac:dyDescent="0.2">
      <c r="B86" s="105" t="s">
        <v>128</v>
      </c>
      <c r="C86" s="34"/>
      <c r="D86" s="254">
        <f>'Input data'!C67*$D$84</f>
        <v>4.0611173722051426</v>
      </c>
      <c r="E86" s="34">
        <f t="shared" ref="E86" si="43">IF(E84=0,0,IF(E80=1,E39*D84*D91*E43/((1+E23/100)*(1+E42/100)),IF(AND(E80=0,E81=1),(E39*D84*D91*E43/((1+E23/100)*(1+E42/100)))*(1-ABS(E84-D84*E43/((1+E23/100)*(1+E42/100)))/((E39*D84*D91*E43/((1+E23/100)*(1+E42/100)))+(D90*D84*E43/((1+E23/100)*(1+E42/100))))),0)))</f>
        <v>2.6058483973222213</v>
      </c>
      <c r="F86" s="34">
        <f t="shared" ref="F86" si="44">IF(F84=0,0,IF(F80=1,F39*E84*E91*F43/((1+F23/100)*(1+F42/100)),IF(AND(F80=0,F81=1),(F39*E84*E91*F43/((1+F23/100)*(1+F42/100)))*(1-ABS(F84-E84*F43/((1+F23/100)*(1+F42/100)))/((F39*E84*E91*F43/((1+F23/100)*(1+F42/100)))+(E90*E84*F43/((1+F23/100)*(1+F42/100))))),0)))</f>
        <v>5.1759171739107712</v>
      </c>
      <c r="G86" s="34">
        <f t="shared" ref="G86" si="45">IF(G84=0,0,IF(G80=1,G39*F84*F91*G43/((1+G23/100)*(1+G42/100)),IF(AND(G80=0,G81=1),(G39*F84*F91*G43/((1+G23/100)*(1+G42/100)))*(1-ABS(G84-F84*G43/((1+G23/100)*(1+G42/100)))/((G39*F84*F91*G43/((1+G23/100)*(1+G42/100)))+(F90*F84*G43/((1+G23/100)*(1+G42/100))))),0)))</f>
        <v>6.3811475370972586</v>
      </c>
      <c r="H86" s="34">
        <f t="shared" ref="H86:W86" si="46">IF(H84=0,0,IF(H80=1,H39*G84*G91*H43/((1+H23/100)*(1+H42/100)),IF(AND(H80=0,H81=1),(H39*G84*G91*H43/((1+H23/100)*(1+H42/100)))*(1-ABS(H84-G84*H43/((1+H23/100)*(1+H42/100)))/((H39*G84*G91*H43/((1+H23/100)*(1+H42/100)))+(G90*G84*H43/((1+H23/100)*(1+H42/100))))),0)))</f>
        <v>6.1104905546643487</v>
      </c>
      <c r="I86" s="34">
        <f t="shared" si="46"/>
        <v>5.5656309792495504</v>
      </c>
      <c r="J86" s="34">
        <f t="shared" si="46"/>
        <v>5.3331674336658734</v>
      </c>
      <c r="K86" s="34">
        <f t="shared" si="46"/>
        <v>4.4794335588860799</v>
      </c>
      <c r="L86" s="34">
        <f t="shared" si="46"/>
        <v>3.5128676316423397</v>
      </c>
      <c r="M86" s="34">
        <f t="shared" si="46"/>
        <v>3.392940580071826</v>
      </c>
      <c r="N86" s="34">
        <f t="shared" si="46"/>
        <v>0.96920181492365254</v>
      </c>
      <c r="O86" s="34">
        <f t="shared" si="46"/>
        <v>0.78372742519128613</v>
      </c>
      <c r="P86" s="34">
        <f t="shared" si="46"/>
        <v>0.65301571303852757</v>
      </c>
      <c r="Q86" s="34">
        <f t="shared" si="46"/>
        <v>0.62094522119187245</v>
      </c>
      <c r="R86" s="34">
        <f t="shared" si="46"/>
        <v>0.53002772703823808</v>
      </c>
      <c r="S86" s="34">
        <f t="shared" si="46"/>
        <v>0.47089347490147465</v>
      </c>
      <c r="T86" s="34">
        <f t="shared" si="46"/>
        <v>0.31344575605326103</v>
      </c>
      <c r="U86" s="34">
        <f t="shared" si="46"/>
        <v>0</v>
      </c>
      <c r="V86" s="34">
        <f t="shared" si="46"/>
        <v>0</v>
      </c>
      <c r="W86" s="34">
        <f t="shared" si="46"/>
        <v>0</v>
      </c>
    </row>
    <row r="87" spans="2:23" x14ac:dyDescent="0.2">
      <c r="B87" s="105" t="s">
        <v>129</v>
      </c>
      <c r="C87" s="34"/>
      <c r="D87" s="254">
        <f>'Input data'!C68*$D$84</f>
        <v>0.95488418751601412</v>
      </c>
      <c r="E87" s="34">
        <f t="shared" ref="E87" si="47">IF(E84=0,0,IF(E80=1,(1-D91)*D84*E43/((1+E23/100)*(1+E42/100)),IF(AND(E80=0,E81=1),(D90*D84*E43/((1+E23/100)*(1+E42/100)))*(1-ABS(E84-D84*E43/((1+E23/100)*(1+E42/100)))/((E39*D84*D91*E43/((1+E23/100)*(1+E42/100)))+(D90*D84*E43/((1+E23/100)*(1+E42/100))))),0)))</f>
        <v>0.49429217227879385</v>
      </c>
      <c r="F87" s="34">
        <f t="shared" ref="F87" si="48">IF(F84=0,0,IF(F80=1,(1-E91)*E84*F43/((1+F23/100)*(1+F42/100)),IF(AND(F80=0,F81=1),(E90*E84*F43/((1+F23/100)*(1+F42/100)))*(1-ABS(F84-E84*F43/((1+F23/100)*(1+F42/100)))/((F39*E84*E91*F43/((1+F23/100)*(1+F42/100)))+(E90*E84*F43/((1+F23/100)*(1+F42/100))))),0)))</f>
        <v>0.34391018940216095</v>
      </c>
      <c r="G87" s="34">
        <f t="shared" ref="G87" si="49">IF(G84=0,0,IF(G80=1,(1-F91)*F84*G43/((1+G23/100)*(1+G42/100)),IF(AND(G80=0,G81=1),(F90*F84*G43/((1+G23/100)*(1+G42/100)))*(1-ABS(G84-F84*G43/((1+G23/100)*(1+G42/100)))/((G39*F84*F91*G43/((1+G23/100)*(1+G42/100)))+(F90*F84*G43/((1+G23/100)*(1+G42/100))))),0)))</f>
        <v>0.26741849493307074</v>
      </c>
      <c r="H87" s="34">
        <f t="shared" ref="H87:W87" si="50">IF(H84=0,0,IF(H80=1,(1-G91)*G84*H43/((1+H23/100)*(1+H42/100)),IF(AND(H80=0,H81=1),(G90*G84*H43/((1+H23/100)*(1+H42/100)))*(1-ABS(H84-G84*H43/((1+H23/100)*(1+H42/100)))/((H39*G84*G91*H43/((1+H23/100)*(1+H42/100)))+(G90*G84*H43/((1+H23/100)*(1+H42/100))))),0)))</f>
        <v>0.18145792196909175</v>
      </c>
      <c r="I87" s="34">
        <f t="shared" si="50"/>
        <v>0.12362262768419337</v>
      </c>
      <c r="J87" s="34">
        <f t="shared" si="50"/>
        <v>8.3966870091188764E-2</v>
      </c>
      <c r="K87" s="34">
        <f t="shared" si="50"/>
        <v>5.3241590603624322E-2</v>
      </c>
      <c r="L87" s="34">
        <f t="shared" si="50"/>
        <v>3.1995648149561171E-2</v>
      </c>
      <c r="M87" s="34">
        <f t="shared" si="50"/>
        <v>1.9662516321558684E-2</v>
      </c>
      <c r="N87" s="34">
        <f t="shared" si="50"/>
        <v>6.6836579200146634E-3</v>
      </c>
      <c r="O87" s="34">
        <f t="shared" si="50"/>
        <v>2.0945246899986068E-3</v>
      </c>
      <c r="P87" s="34">
        <f t="shared" si="50"/>
        <v>5.9937594314107292E-4</v>
      </c>
      <c r="Q87" s="34">
        <f t="shared" si="50"/>
        <v>1.7735763208195419E-4</v>
      </c>
      <c r="R87" s="34">
        <f t="shared" si="50"/>
        <v>4.9018296660208386E-5</v>
      </c>
      <c r="S87" s="34">
        <f t="shared" si="50"/>
        <v>1.2815605461631142E-5</v>
      </c>
      <c r="T87" s="34">
        <f t="shared" si="50"/>
        <v>2.5309554799867692E-6</v>
      </c>
      <c r="U87" s="34">
        <f t="shared" si="50"/>
        <v>0</v>
      </c>
      <c r="V87" s="34">
        <f t="shared" si="50"/>
        <v>0</v>
      </c>
      <c r="W87" s="34">
        <f t="shared" si="50"/>
        <v>0</v>
      </c>
    </row>
    <row r="88" spans="2:23" x14ac:dyDescent="0.2">
      <c r="B88" s="105" t="s">
        <v>130</v>
      </c>
      <c r="C88" s="34"/>
      <c r="D88" s="254">
        <f>'Input data'!C69*$D$84</f>
        <v>0</v>
      </c>
      <c r="E88" s="34">
        <f>IF(E84=0,0,IF(E80=1,'Input data'!$C$58*(E84-D84*E43/((1+E23/100)*(1+E42/100))),0))</f>
        <v>0</v>
      </c>
      <c r="F88" s="34">
        <f>IF(F84=0,0,IF(F80=1,'Input data'!$C$58*(F84-E84*F43/((1+F23/100)*(1+F42/100))),0))</f>
        <v>0</v>
      </c>
      <c r="G88" s="34">
        <f>IF(G84=0,0,IF(G80=1,'Input data'!$C$58*(G84-F84*G43/((1+G23/100)*(1+G42/100))),0))</f>
        <v>0</v>
      </c>
      <c r="H88" s="34">
        <f>IF(H84=0,0,IF(H80=1,'Input data'!$C$58*(H84-G84*H43/((1+H23/100)*(1+H42/100))),0))</f>
        <v>0</v>
      </c>
      <c r="I88" s="34">
        <f>IF(I84=0,0,IF(I80=1,'Input data'!$C$58*(I84-H84*I43/((1+I23/100)*(1+I42/100))),0))</f>
        <v>0</v>
      </c>
      <c r="J88" s="34">
        <f>IF(J84=0,0,IF(J80=1,'Input data'!$C$58*(J84-I84*J43/((1+J23/100)*(1+J42/100))),0))</f>
        <v>0</v>
      </c>
      <c r="K88" s="34">
        <f>IF(K84=0,0,IF(K80=1,'Input data'!$C$58*(K84-J84*K43/((1+K23/100)*(1+K42/100))),0))</f>
        <v>0</v>
      </c>
      <c r="L88" s="34">
        <f>IF(L84=0,0,IF(L80=1,'Input data'!$C$58*(L84-K84*L43/((1+L23/100)*(1+L42/100))),0))</f>
        <v>0</v>
      </c>
      <c r="M88" s="34">
        <f>IF(M84=0,0,IF(M80=1,'Input data'!$C$58*(M84-L84*M43/((1+M23/100)*(1+M42/100))),0))</f>
        <v>0</v>
      </c>
      <c r="N88" s="34">
        <f>IF(N84=0,0,IF(N80=1,'Input data'!$C$58*(N84-M84*N43/((1+N23/100)*(1+N42/100))),0))</f>
        <v>0</v>
      </c>
      <c r="O88" s="34">
        <f>IF(O84=0,0,IF(O80=1,'Input data'!$C$58*(O84-N84*O43/((1+O23/100)*(1+O42/100))),0))</f>
        <v>0</v>
      </c>
      <c r="P88" s="34">
        <f>IF(P84=0,0,IF(P80=1,'Input data'!$C$58*(P84-O84*P43/((1+P23/100)*(1+P42/100))),0))</f>
        <v>0</v>
      </c>
      <c r="Q88" s="34">
        <f>IF(Q84=0,0,IF(Q80=1,'Input data'!$C$58*(Q84-P84*Q43/((1+Q23/100)*(1+Q42/100))),0))</f>
        <v>0</v>
      </c>
      <c r="R88" s="34">
        <f>IF(R84=0,0,IF(R80=1,'Input data'!$C$58*(R84-Q84*R43/((1+R23/100)*(1+R42/100))),0))</f>
        <v>0</v>
      </c>
      <c r="S88" s="34">
        <f>IF(S84=0,0,IF(S80=1,'Input data'!$C$58*(S84-R84*S43/((1+S23/100)*(1+S42/100))),0))</f>
        <v>0</v>
      </c>
      <c r="T88" s="34">
        <f>IF(T84=0,0,IF(T80=1,'Input data'!$C$58*(T84-S84*T43/((1+T23/100)*(1+T42/100))),0))</f>
        <v>0</v>
      </c>
      <c r="U88" s="34">
        <f>IF(U84=0,0,IF(U80=1,'Input data'!$C$58*(U84-T84*U43/((1+U23/100)*(1+U42/100))),0))</f>
        <v>0</v>
      </c>
      <c r="V88" s="34">
        <f>IF(V84=0,0,IF(V80=1,'Input data'!$C$58*(V84-U84*V43/((1+V23/100)*(1+V42/100))),0))</f>
        <v>0</v>
      </c>
      <c r="W88" s="34">
        <f>IF(W84=0,0,IF(W80=1,'Input data'!$C$58*(W84-V84*W43/((1+W23/100)*(1+W42/100))),0))</f>
        <v>0</v>
      </c>
    </row>
    <row r="89" spans="2:23" x14ac:dyDescent="0.2">
      <c r="B89" s="107" t="s">
        <v>131</v>
      </c>
      <c r="C89" s="49"/>
      <c r="D89" s="255">
        <f>'Input data'!C70*$D$84</f>
        <v>0</v>
      </c>
      <c r="E89" s="49">
        <f>IF(E84=0,0,IF(E80=1,'Input data'!$C$57*(E84-D84*E43/((1+E23/100)*(1+E42/100))),0))</f>
        <v>0</v>
      </c>
      <c r="F89" s="49">
        <f>IF(F84=0,0,IF(F80=1,'Input data'!$C$57*(F84-E84*F43/((1+F23/100)*(1+F42/100))),0))</f>
        <v>0</v>
      </c>
      <c r="G89" s="49">
        <f>IF(G84=0,0,IF(G80=1,'Input data'!$C$57*(G84-F84*G43/((1+G23/100)*(1+G42/100))),0))</f>
        <v>0</v>
      </c>
      <c r="H89" s="49">
        <f>IF(H84=0,0,IF(H80=1,'Input data'!$C$57*(H84-G84*H43/((1+H23/100)*(1+H42/100))),0))</f>
        <v>0</v>
      </c>
      <c r="I89" s="49">
        <f>IF(I84=0,0,IF(I80=1,'Input data'!$C$57*(I84-H84*I43/((1+I23/100)*(1+I42/100))),0))</f>
        <v>0</v>
      </c>
      <c r="J89" s="49">
        <f>IF(J84=0,0,IF(J80=1,'Input data'!$C$57*(J84-I84*J43/((1+J23/100)*(1+J42/100))),0))</f>
        <v>0</v>
      </c>
      <c r="K89" s="49">
        <f>IF(K84=0,0,IF(K80=1,'Input data'!$C$57*(K84-J84*K43/((1+K23/100)*(1+K42/100))),0))</f>
        <v>0</v>
      </c>
      <c r="L89" s="49">
        <f>IF(L84=0,0,IF(L80=1,'Input data'!$C$57*(L84-K84*L43/((1+L23/100)*(1+L42/100))),0))</f>
        <v>0</v>
      </c>
      <c r="M89" s="49">
        <f>IF(M84=0,0,IF(M80=1,'Input data'!$C$57*(M84-L84*M43/((1+M23/100)*(1+M42/100))),0))</f>
        <v>0</v>
      </c>
      <c r="N89" s="49">
        <f>IF(N84=0,0,IF(N80=1,'Input data'!$C$57*(N84-M84*N43/((1+N23/100)*(1+N42/100))),0))</f>
        <v>0</v>
      </c>
      <c r="O89" s="49">
        <f>IF(O84=0,0,IF(O80=1,'Input data'!$C$57*(O84-N84*O43/((1+O23/100)*(1+O42/100))),0))</f>
        <v>0</v>
      </c>
      <c r="P89" s="49">
        <f>IF(P84=0,0,IF(P80=1,'Input data'!$C$57*(P84-O84*P43/((1+P23/100)*(1+P42/100))),0))</f>
        <v>0</v>
      </c>
      <c r="Q89" s="49">
        <f>IF(Q84=0,0,IF(Q80=1,'Input data'!$C$57*(Q84-P84*Q43/((1+Q23/100)*(1+Q42/100))),0))</f>
        <v>0</v>
      </c>
      <c r="R89" s="49">
        <f>IF(R84=0,0,IF(R80=1,'Input data'!$C$57*(R84-Q84*R43/((1+R23/100)*(1+R42/100))),0))</f>
        <v>0</v>
      </c>
      <c r="S89" s="49">
        <f>IF(S84=0,0,IF(S80=1,'Input data'!$C$57*(S84-R84*S43/((1+S23/100)*(1+S42/100))),0))</f>
        <v>0</v>
      </c>
      <c r="T89" s="49">
        <f>IF(T84=0,0,IF(T80=1,'Input data'!$C$57*(T84-S84*T43/((1+T23/100)*(1+T42/100))),0))</f>
        <v>0</v>
      </c>
      <c r="U89" s="49">
        <f>IF(U84=0,0,IF(U80=1,'Input data'!$C$57*(U84-T84*U43/((1+U23/100)*(1+U42/100))),0))</f>
        <v>0</v>
      </c>
      <c r="V89" s="49">
        <f>IF(V84=0,0,IF(V80=1,'Input data'!$C$57*(V84-U84*V43/((1+V23/100)*(1+V42/100))),0))</f>
        <v>0</v>
      </c>
      <c r="W89" s="49">
        <f>IF(W84=0,0,IF(W80=1,'Input data'!$C$57*(W84-V84*W43/((1+W23/100)*(1+W42/100))),0))</f>
        <v>0</v>
      </c>
    </row>
    <row r="90" spans="2:23" x14ac:dyDescent="0.2">
      <c r="B90" s="26" t="s">
        <v>73</v>
      </c>
      <c r="C90" s="34"/>
      <c r="D90" s="260">
        <f>'Baseline NFPC'!$D$93</f>
        <v>1.1155790366010776E-2</v>
      </c>
      <c r="E90" s="34">
        <f t="shared" ref="E90:G90" si="51">IF(E84&lt;&gt;0,(E87+E89)/(E85+E86+E87+E88+E89),0)</f>
        <v>6.3957527572124145E-3</v>
      </c>
      <c r="F90" s="34">
        <f t="shared" si="51"/>
        <v>4.8726332818168029E-3</v>
      </c>
      <c r="G90" s="34">
        <f t="shared" si="51"/>
        <v>4.0847369898781277E-3</v>
      </c>
      <c r="H90" s="34">
        <f t="shared" ref="H90:W90" si="52">IF(H84&lt;&gt;0,(H87+H89)/(H85+H86+H87+H88+H89),0)</f>
        <v>3.0247499900062373E-3</v>
      </c>
      <c r="I90" s="34">
        <f t="shared" si="52"/>
        <v>2.233699700751453E-3</v>
      </c>
      <c r="J90" s="34">
        <f t="shared" si="52"/>
        <v>1.6486837651833739E-3</v>
      </c>
      <c r="K90" s="34">
        <f t="shared" si="52"/>
        <v>1.1383606393435899E-3</v>
      </c>
      <c r="L90" s="34">
        <f t="shared" si="52"/>
        <v>7.4407204542289139E-4</v>
      </c>
      <c r="M90" s="34">
        <f t="shared" si="52"/>
        <v>4.9685527653472268E-4</v>
      </c>
      <c r="N90" s="34">
        <f t="shared" si="52"/>
        <v>1.8351848161564076E-4</v>
      </c>
      <c r="O90" s="34">
        <f t="shared" si="52"/>
        <v>6.2455902706434719E-5</v>
      </c>
      <c r="P90" s="34">
        <f t="shared" si="52"/>
        <v>1.9445211469495978E-5</v>
      </c>
      <c r="Q90" s="34">
        <f t="shared" si="52"/>
        <v>6.2579122216995391E-6</v>
      </c>
      <c r="R90" s="34">
        <f t="shared" si="52"/>
        <v>1.8838681151182589E-6</v>
      </c>
      <c r="S90" s="34">
        <f t="shared" si="52"/>
        <v>5.3800996869713017E-7</v>
      </c>
      <c r="T90" s="34">
        <f t="shared" si="52"/>
        <v>1.1640395930189039E-7</v>
      </c>
      <c r="U90" s="34">
        <f t="shared" si="52"/>
        <v>0</v>
      </c>
      <c r="V90" s="34">
        <f t="shared" si="52"/>
        <v>0</v>
      </c>
      <c r="W90" s="34">
        <f t="shared" si="52"/>
        <v>0</v>
      </c>
    </row>
    <row r="91" spans="2:23" x14ac:dyDescent="0.2">
      <c r="B91" s="35" t="s">
        <v>74</v>
      </c>
      <c r="C91" s="49"/>
      <c r="D91" s="261">
        <f>'Baseline NFPC'!$D$94</f>
        <v>0.98884420963398922</v>
      </c>
      <c r="E91" s="49">
        <f t="shared" ref="E91:G91" si="53">IF(E84&lt;&gt;0,(E85+E86+E88)/(E85+E86+E87+E88+E89),1)</f>
        <v>0.99360424724278762</v>
      </c>
      <c r="F91" s="49">
        <f t="shared" si="53"/>
        <v>0.99512736671818314</v>
      </c>
      <c r="G91" s="49">
        <f t="shared" si="53"/>
        <v>0.9959152630101219</v>
      </c>
      <c r="H91" s="49">
        <f t="shared" ref="H91:W91" si="54">IF(H84&lt;&gt;0,(H85+H86+H88)/(H85+H86+H87+H88+H89),1)</f>
        <v>0.99697525000999376</v>
      </c>
      <c r="I91" s="49">
        <f t="shared" si="54"/>
        <v>0.99776630029924862</v>
      </c>
      <c r="J91" s="49">
        <f t="shared" si="54"/>
        <v>0.99835131623481665</v>
      </c>
      <c r="K91" s="49">
        <f t="shared" si="54"/>
        <v>0.99886163936065642</v>
      </c>
      <c r="L91" s="49">
        <f t="shared" si="54"/>
        <v>0.99925592795457707</v>
      </c>
      <c r="M91" s="49">
        <f t="shared" si="54"/>
        <v>0.99950314472346524</v>
      </c>
      <c r="N91" s="49">
        <f t="shared" si="54"/>
        <v>0.99981648151838443</v>
      </c>
      <c r="O91" s="49">
        <f t="shared" si="54"/>
        <v>0.99993754409729352</v>
      </c>
      <c r="P91" s="49">
        <f t="shared" si="54"/>
        <v>0.99998055478853043</v>
      </c>
      <c r="Q91" s="49">
        <f t="shared" si="54"/>
        <v>0.99999374208777825</v>
      </c>
      <c r="R91" s="49">
        <f t="shared" si="54"/>
        <v>0.99999811613188483</v>
      </c>
      <c r="S91" s="49">
        <f t="shared" si="54"/>
        <v>0.99999946199003131</v>
      </c>
      <c r="T91" s="49">
        <f t="shared" si="54"/>
        <v>0.99999988359604064</v>
      </c>
      <c r="U91" s="49">
        <f t="shared" si="54"/>
        <v>1</v>
      </c>
      <c r="V91" s="49">
        <f t="shared" si="54"/>
        <v>1</v>
      </c>
      <c r="W91" s="49">
        <f t="shared" si="54"/>
        <v>1</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3" t="s">
        <v>132</v>
      </c>
      <c r="C93" s="115">
        <f>C105</f>
        <v>1.7160236835479736</v>
      </c>
      <c r="D93" s="115">
        <f>D105</f>
        <v>1.6482961177825928</v>
      </c>
      <c r="E93" s="115">
        <f t="shared" ref="E93:G93" si="55">E95+E96</f>
        <v>1.80772</v>
      </c>
      <c r="F93" s="115">
        <f t="shared" si="55"/>
        <v>1.9077200000000001</v>
      </c>
      <c r="G93" s="115">
        <f t="shared" si="55"/>
        <v>1.9077200000000001</v>
      </c>
      <c r="H93" s="115">
        <f t="shared" ref="H93:W93" si="56">H95+H96</f>
        <v>2.0510578068871177</v>
      </c>
      <c r="I93" s="115">
        <f t="shared" si="56"/>
        <v>2.1928297708470597</v>
      </c>
      <c r="J93" s="115">
        <f t="shared" si="56"/>
        <v>2.3254135666366338</v>
      </c>
      <c r="K93" s="115">
        <f t="shared" si="56"/>
        <v>2.5098713418878855</v>
      </c>
      <c r="L93" s="115">
        <f t="shared" si="56"/>
        <v>2.6663955178642209</v>
      </c>
      <c r="M93" s="115">
        <f t="shared" si="56"/>
        <v>2.7925920653914615</v>
      </c>
      <c r="N93" s="115">
        <f t="shared" si="56"/>
        <v>2.9200112169919779</v>
      </c>
      <c r="O93" s="115">
        <f t="shared" si="56"/>
        <v>2.957866458948514</v>
      </c>
      <c r="P93" s="115">
        <f t="shared" si="56"/>
        <v>2.9904563990186235</v>
      </c>
      <c r="Q93" s="115">
        <f t="shared" si="56"/>
        <v>3.0194942533982752</v>
      </c>
      <c r="R93" s="115">
        <f t="shared" si="56"/>
        <v>3.0490643246675537</v>
      </c>
      <c r="S93" s="115">
        <f t="shared" si="56"/>
        <v>3.0761123771709311</v>
      </c>
      <c r="T93" s="115">
        <f t="shared" si="56"/>
        <v>3.1019794449838178</v>
      </c>
      <c r="U93" s="115">
        <f t="shared" si="56"/>
        <v>3.1205808348496635</v>
      </c>
      <c r="V93" s="115">
        <f t="shared" si="56"/>
        <v>3.1205808479239052</v>
      </c>
      <c r="W93" s="115">
        <f t="shared" si="56"/>
        <v>3.1205808479239052</v>
      </c>
    </row>
    <row r="94" spans="2:23" x14ac:dyDescent="0.2">
      <c r="B94" s="33" t="s">
        <v>133</v>
      </c>
      <c r="C94" s="34"/>
      <c r="D94" s="34"/>
      <c r="E94" s="266">
        <f>((E36*D84)-(E38*(D87+D89)))/(D85+D86+D88)</f>
        <v>1.789417966678488</v>
      </c>
      <c r="F94" s="266">
        <f t="shared" ref="F94:G94" si="57">((F36*E84)-(F38*(E87+E89)))/(E85+E86+E88)</f>
        <v>1.8970573164187969</v>
      </c>
      <c r="G94" s="266">
        <f t="shared" si="57"/>
        <v>1.903270777978008</v>
      </c>
      <c r="H94" s="34">
        <f t="shared" ref="H94:W94" si="58">IF(G84&gt;0,(G94*G85+H37*(G88+G86))/(G85+G86+G88),H37)</f>
        <v>2.0479651535739261</v>
      </c>
      <c r="I94" s="34">
        <f t="shared" si="58"/>
        <v>2.1910064597493979</v>
      </c>
      <c r="J94" s="34">
        <f t="shared" si="58"/>
        <v>2.3243902465315931</v>
      </c>
      <c r="K94" s="34">
        <f t="shared" si="58"/>
        <v>2.5086140251894364</v>
      </c>
      <c r="L94" s="34">
        <f t="shared" si="58"/>
        <v>2.6657190723228497</v>
      </c>
      <c r="M94" s="34">
        <f t="shared" si="58"/>
        <v>2.7922524643727913</v>
      </c>
      <c r="N94" s="34">
        <f t="shared" si="58"/>
        <v>2.9198534544261121</v>
      </c>
      <c r="O94" s="34">
        <f t="shared" si="58"/>
        <v>2.9578172259363589</v>
      </c>
      <c r="P94" s="34">
        <f t="shared" si="58"/>
        <v>2.9904439489621066</v>
      </c>
      <c r="Q94" s="34">
        <f t="shared" si="58"/>
        <v>3.0194916479469898</v>
      </c>
      <c r="R94" s="34">
        <f t="shared" si="58"/>
        <v>3.0490638984248721</v>
      </c>
      <c r="S94" s="34">
        <f t="shared" si="58"/>
        <v>3.0761123682044129</v>
      </c>
      <c r="T94" s="34">
        <f t="shared" si="58"/>
        <v>3.1019794758720338</v>
      </c>
      <c r="U94" s="34">
        <f t="shared" si="58"/>
        <v>3.1205808479239052</v>
      </c>
      <c r="V94" s="34">
        <f t="shared" si="58"/>
        <v>3.1205808479239052</v>
      </c>
      <c r="W94" s="34">
        <f t="shared" si="58"/>
        <v>3.1205808479239052</v>
      </c>
    </row>
    <row r="95" spans="2:23" x14ac:dyDescent="0.2">
      <c r="B95" s="26" t="s">
        <v>134</v>
      </c>
      <c r="C95" s="34"/>
      <c r="D95" s="34"/>
      <c r="E95" s="34">
        <f t="shared" ref="E95" si="59">(E94*(D85+D86+D88)+E38*(D87+D89))/D84</f>
        <v>1.80772</v>
      </c>
      <c r="F95" s="34">
        <f t="shared" ref="F95" si="60">(F94*(E85+E86+E88)+F38*(E87+E89))/E84</f>
        <v>1.9077200000000001</v>
      </c>
      <c r="G95" s="34">
        <f t="shared" ref="G95" si="61">(G94*(F85+F86+F88)+G38*(F87+F89))/F84</f>
        <v>1.9077200000000001</v>
      </c>
      <c r="H95" s="34">
        <f t="shared" ref="H95:W95" si="62">(H94*(G85+G86+G88)+H38*(G87+G89))/G84</f>
        <v>2.0510578068871177</v>
      </c>
      <c r="I95" s="34">
        <f t="shared" si="62"/>
        <v>2.1928297708470597</v>
      </c>
      <c r="J95" s="34">
        <f t="shared" si="62"/>
        <v>2.3254135666366338</v>
      </c>
      <c r="K95" s="34">
        <f t="shared" si="62"/>
        <v>2.5098713418878855</v>
      </c>
      <c r="L95" s="34">
        <f t="shared" si="62"/>
        <v>2.6663955178642209</v>
      </c>
      <c r="M95" s="34">
        <f t="shared" si="62"/>
        <v>2.7925920653914615</v>
      </c>
      <c r="N95" s="34">
        <f t="shared" si="62"/>
        <v>2.9200112169919779</v>
      </c>
      <c r="O95" s="34">
        <f t="shared" si="62"/>
        <v>2.957866458948514</v>
      </c>
      <c r="P95" s="34">
        <f t="shared" si="62"/>
        <v>2.9904563990186235</v>
      </c>
      <c r="Q95" s="34">
        <f t="shared" si="62"/>
        <v>3.0194942533982752</v>
      </c>
      <c r="R95" s="34">
        <f t="shared" si="62"/>
        <v>3.0490643246675537</v>
      </c>
      <c r="S95" s="34">
        <f t="shared" si="62"/>
        <v>3.0761123771709311</v>
      </c>
      <c r="T95" s="34">
        <f t="shared" si="62"/>
        <v>3.1019794449838178</v>
      </c>
      <c r="U95" s="34">
        <f t="shared" si="62"/>
        <v>3.1205808348496635</v>
      </c>
      <c r="V95" s="34">
        <f t="shared" si="62"/>
        <v>3.1205808479239052</v>
      </c>
      <c r="W95" s="34">
        <f t="shared" si="62"/>
        <v>3.1205808479239052</v>
      </c>
    </row>
    <row r="96" spans="2:23" x14ac:dyDescent="0.2">
      <c r="B96" s="35" t="s">
        <v>135</v>
      </c>
      <c r="C96" s="114"/>
      <c r="D96" s="114"/>
      <c r="E96" s="49">
        <f>IF('Criteria results'!$F$5=4,E106,E111)</f>
        <v>0</v>
      </c>
      <c r="F96" s="49">
        <f>IF('Criteria results'!$F$5=4,F106,F111)</f>
        <v>0</v>
      </c>
      <c r="G96" s="49">
        <f>IF('Criteria results'!$F$5=4,G106,G111)</f>
        <v>0</v>
      </c>
      <c r="H96" s="49">
        <f>IF('Criteria results'!$F$5=4,H106,H111)</f>
        <v>0</v>
      </c>
      <c r="I96" s="49">
        <f>IF('Criteria results'!$F$5=4,I106,I111)</f>
        <v>0</v>
      </c>
      <c r="J96" s="49">
        <f>IF('Criteria results'!$F$5=4,J106,J111)</f>
        <v>0</v>
      </c>
      <c r="K96" s="49">
        <f>IF('Criteria results'!$F$5=4,K106,K111)</f>
        <v>0</v>
      </c>
      <c r="L96" s="49">
        <f>IF('Criteria results'!$F$5=4,L106,L111)</f>
        <v>0</v>
      </c>
      <c r="M96" s="49">
        <f>IF('Criteria results'!$F$5=4,M106,M111)</f>
        <v>0</v>
      </c>
      <c r="N96" s="49">
        <f>IF('Criteria results'!$F$5=4,N106,N111)</f>
        <v>0</v>
      </c>
      <c r="O96" s="49">
        <f>IF('Criteria results'!$F$5=4,O106,O111)</f>
        <v>0</v>
      </c>
      <c r="P96" s="49">
        <f>IF('Criteria results'!$F$5=4,P106,P111)</f>
        <v>0</v>
      </c>
      <c r="Q96" s="49">
        <f>IF('Criteria results'!$F$5=4,Q106,Q111)</f>
        <v>0</v>
      </c>
      <c r="R96" s="49">
        <f>IF('Criteria results'!$F$5=4,R106,R111)</f>
        <v>0</v>
      </c>
      <c r="S96" s="49">
        <f>IF('Criteria results'!$F$5=4,S106,S111)</f>
        <v>0</v>
      </c>
      <c r="T96" s="49">
        <f>IF('Criteria results'!$F$5=4,T106,T111)</f>
        <v>0</v>
      </c>
      <c r="U96" s="49">
        <f>IF('Criteria results'!$F$5=4,U106,U111)</f>
        <v>0</v>
      </c>
      <c r="V96" s="49">
        <f>IF('Criteria results'!$F$5=4,V106,V111)</f>
        <v>0</v>
      </c>
      <c r="W96" s="49">
        <f>IF('Criteria results'!$F$5=4,W106,W111)</f>
        <v>0</v>
      </c>
    </row>
    <row r="98" spans="1:54" x14ac:dyDescent="0.2">
      <c r="B98" s="113" t="s">
        <v>185</v>
      </c>
      <c r="C98" s="115">
        <f>((1+C93/100)/((1+C23/100)*(1+C42/100))-1)*100</f>
        <v>-9.8765563924503539</v>
      </c>
      <c r="D98" s="115">
        <f t="shared" ref="D98:T98" si="63">((1+D93/100)/((1+D23/100)*(1+D42/100))-1)*100</f>
        <v>-8.778914386354387</v>
      </c>
      <c r="E98" s="115">
        <f t="shared" si="63"/>
        <v>-5.1265148425786773</v>
      </c>
      <c r="F98" s="115">
        <f t="shared" si="63"/>
        <v>-4.3974442453050262</v>
      </c>
      <c r="G98" s="115">
        <f t="shared" si="63"/>
        <v>-3.3667168756985943</v>
      </c>
      <c r="H98" s="115">
        <f t="shared" si="63"/>
        <v>-2.4818120584936265</v>
      </c>
      <c r="I98" s="115">
        <f t="shared" si="63"/>
        <v>-1.7354991123177177</v>
      </c>
      <c r="J98" s="115">
        <f t="shared" si="63"/>
        <v>-1.6845391065855475</v>
      </c>
      <c r="K98" s="115">
        <f t="shared" si="63"/>
        <v>-1.1040141961792593</v>
      </c>
      <c r="L98" s="115">
        <f t="shared" si="63"/>
        <v>-0.88994815646021852</v>
      </c>
      <c r="M98" s="115">
        <f t="shared" si="63"/>
        <v>-0.73822197801542977</v>
      </c>
      <c r="N98" s="115">
        <f t="shared" si="63"/>
        <v>-0.61135165449284212</v>
      </c>
      <c r="O98" s="115">
        <f t="shared" si="63"/>
        <v>-0.56919140787082823</v>
      </c>
      <c r="P98" s="115">
        <f t="shared" si="63"/>
        <v>-0.57451710092618624</v>
      </c>
      <c r="Q98" s="115">
        <f t="shared" si="63"/>
        <v>-0.58323663461788966</v>
      </c>
      <c r="R98" s="115">
        <f t="shared" si="63"/>
        <v>-0.59140230787035897</v>
      </c>
      <c r="S98" s="115">
        <f t="shared" si="63"/>
        <v>-0.62399188637748404</v>
      </c>
      <c r="T98" s="115">
        <f t="shared" si="63"/>
        <v>-0.62552910918065585</v>
      </c>
      <c r="U98" s="115">
        <f>((1+U93/100)/((1+U23/100)*(1+U42/100))-1)*100</f>
        <v>-0.64518698590929624</v>
      </c>
      <c r="V98" s="115">
        <f t="shared" ref="V98:W98" si="64">((1+V93/100)/((1+V23/100)*(1+V42/100))-1)*100</f>
        <v>-0.68689432065350831</v>
      </c>
      <c r="W98" s="115">
        <f t="shared" si="64"/>
        <v>-0.62807156616966342</v>
      </c>
    </row>
    <row r="101" spans="1:54" s="25" customFormat="1" ht="12.75" outlineLevel="1" x14ac:dyDescent="0.2">
      <c r="B101" s="25" t="s">
        <v>136</v>
      </c>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54" s="127" customFormat="1" ht="12.75" outlineLevel="1" x14ac:dyDescent="0.2">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s="127" customFormat="1" ht="12.75" outlineLevel="1" x14ac:dyDescent="0.2">
      <c r="B103" s="106" t="s">
        <v>292</v>
      </c>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54" outlineLevel="1" x14ac:dyDescent="0.2">
      <c r="B104" s="120" t="s">
        <v>43</v>
      </c>
      <c r="C104" s="34">
        <v>99.250228881835938</v>
      </c>
      <c r="D104" s="34">
        <v>85.59527587890625</v>
      </c>
      <c r="E104" s="34">
        <v>77.284423828125</v>
      </c>
      <c r="F104" s="34">
        <v>70.579917907714844</v>
      </c>
      <c r="G104" s="34">
        <v>65.467704772949219</v>
      </c>
      <c r="H104" s="34">
        <v>59.991008758544922</v>
      </c>
      <c r="I104" s="34">
        <v>55.344291687011719</v>
      </c>
      <c r="J104" s="34">
        <v>50.929584503173828</v>
      </c>
      <c r="K104" s="34">
        <v>46.770339965820313</v>
      </c>
      <c r="L104" s="34">
        <v>43.000663757324219</v>
      </c>
      <c r="M104" s="34">
        <v>39.573848724365234</v>
      </c>
      <c r="N104" s="34">
        <v>36.41943359375</v>
      </c>
      <c r="O104" s="34">
        <v>33.53594970703125</v>
      </c>
      <c r="P104" s="34">
        <v>30.823711395263672</v>
      </c>
      <c r="Q104" s="34">
        <v>28.341196060180664</v>
      </c>
      <c r="R104" s="34">
        <v>26.019874572753906</v>
      </c>
      <c r="S104" s="34">
        <v>23.820213317871094</v>
      </c>
      <c r="T104" s="34">
        <v>21.74267578125</v>
      </c>
      <c r="U104" s="34">
        <v>19.47563362121582</v>
      </c>
      <c r="V104" s="34">
        <v>17.404779434204102</v>
      </c>
      <c r="W104" s="34">
        <v>15.37783145904541</v>
      </c>
      <c r="X104" s="34"/>
      <c r="Y104" s="34"/>
      <c r="Z104" s="34"/>
    </row>
    <row r="105" spans="1:54" s="5" customFormat="1" ht="12.75" x14ac:dyDescent="0.2">
      <c r="A105" s="26"/>
      <c r="B105" s="26" t="s">
        <v>132</v>
      </c>
      <c r="C105" s="1">
        <v>1.7160236835479736</v>
      </c>
      <c r="D105" s="1">
        <v>1.6482961177825928</v>
      </c>
      <c r="E105" s="1">
        <v>1.807720422744751</v>
      </c>
      <c r="F105" s="1">
        <v>1.9077204465866089</v>
      </c>
      <c r="G105" s="1">
        <v>1.9077204465866089</v>
      </c>
      <c r="H105" s="1">
        <v>2.0510580539703369</v>
      </c>
      <c r="I105" s="1">
        <v>2.1928298473358154</v>
      </c>
      <c r="J105" s="1">
        <v>2.3254132270812988</v>
      </c>
      <c r="K105" s="1">
        <v>2.5098707675933838</v>
      </c>
      <c r="L105" s="1">
        <v>2.6663944721221924</v>
      </c>
      <c r="M105" s="1">
        <v>2.792590856552124</v>
      </c>
      <c r="N105" s="1">
        <v>2.9200096130371094</v>
      </c>
      <c r="O105" s="1">
        <v>2.9578640460968018</v>
      </c>
      <c r="P105" s="1">
        <v>2.9904534816741943</v>
      </c>
      <c r="Q105" s="1">
        <v>3.0194902420043945</v>
      </c>
      <c r="R105" s="1">
        <v>3.0490586757659912</v>
      </c>
      <c r="S105" s="1">
        <v>3.076106071472168</v>
      </c>
      <c r="T105" s="1">
        <v>3.1019713878631592</v>
      </c>
      <c r="U105" s="1">
        <v>3.1205711364746094</v>
      </c>
      <c r="V105" s="1">
        <v>3.1205711364746094</v>
      </c>
      <c r="W105" s="1">
        <v>3.1205711364746094</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t="s">
        <v>184</v>
      </c>
      <c r="C106" s="1"/>
      <c r="D106" s="1"/>
      <c r="E106" s="1"/>
      <c r="F106" s="1"/>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2.75" x14ac:dyDescent="0.2">
      <c r="B108" s="106" t="s">
        <v>293</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20" t="s">
        <v>43</v>
      </c>
      <c r="C109" s="34">
        <v>99.250228881835938</v>
      </c>
      <c r="D109" s="34">
        <v>85.59527587890625</v>
      </c>
      <c r="E109" s="34">
        <v>77.284423828125</v>
      </c>
      <c r="F109" s="34">
        <v>70.579917907714844</v>
      </c>
      <c r="G109" s="34">
        <v>65.467704772949219</v>
      </c>
      <c r="H109" s="34">
        <v>59.991008758544922</v>
      </c>
      <c r="I109" s="34">
        <v>55.344291687011719</v>
      </c>
      <c r="J109" s="34">
        <v>50.929588317871094</v>
      </c>
      <c r="K109" s="34">
        <v>46.611194610595703</v>
      </c>
      <c r="L109" s="34">
        <v>42.444400787353516</v>
      </c>
      <c r="M109" s="34">
        <v>38.387298583984375</v>
      </c>
      <c r="N109" s="34">
        <v>34.815578460693359</v>
      </c>
      <c r="O109" s="34">
        <v>31.515169143676758</v>
      </c>
      <c r="P109" s="34">
        <v>28.38665771484375</v>
      </c>
      <c r="Q109" s="34">
        <v>25.488475799560547</v>
      </c>
      <c r="R109" s="34">
        <v>22.752696990966797</v>
      </c>
      <c r="S109" s="34">
        <v>20.142448425292969</v>
      </c>
      <c r="T109" s="34">
        <v>17.658586502075195</v>
      </c>
      <c r="U109" s="34">
        <v>14.992362022399902</v>
      </c>
      <c r="V109" s="34">
        <v>12.53471565246582</v>
      </c>
      <c r="W109" s="34">
        <v>10.128049850463867</v>
      </c>
      <c r="X109" s="34"/>
      <c r="Y109" s="34"/>
      <c r="Z109" s="34"/>
    </row>
    <row r="110" spans="1:54" x14ac:dyDescent="0.2">
      <c r="B110" s="26" t="s">
        <v>132</v>
      </c>
      <c r="C110" s="1">
        <v>1.7160236835479736</v>
      </c>
      <c r="D110" s="1">
        <v>1.6482961177825928</v>
      </c>
      <c r="E110" s="1">
        <v>1.807720422744751</v>
      </c>
      <c r="F110" s="1">
        <v>1.9077204465866089</v>
      </c>
      <c r="G110" s="1">
        <v>1.9077204465866089</v>
      </c>
      <c r="H110" s="1">
        <v>2.0510580539703369</v>
      </c>
      <c r="I110" s="1">
        <v>2.1928298473358154</v>
      </c>
      <c r="J110" s="1">
        <v>2.3254132270812988</v>
      </c>
      <c r="K110" s="1">
        <v>2.456688404083252</v>
      </c>
      <c r="L110" s="1">
        <v>2.5721971988677979</v>
      </c>
      <c r="M110" s="1">
        <v>2.6604959964752197</v>
      </c>
      <c r="N110" s="1">
        <v>2.7810125350952148</v>
      </c>
      <c r="O110" s="1">
        <v>2.8001608848571777</v>
      </c>
      <c r="P110" s="1">
        <v>2.8101682662963867</v>
      </c>
      <c r="Q110" s="1">
        <v>2.811964750289917</v>
      </c>
      <c r="R110" s="1">
        <v>2.811964750289917</v>
      </c>
      <c r="S110" s="1">
        <v>2.811964750289917</v>
      </c>
      <c r="T110" s="1">
        <v>2.811964750289917</v>
      </c>
      <c r="U110" s="1">
        <v>2.811964750289917</v>
      </c>
      <c r="V110" s="1">
        <v>2.811964750289917</v>
      </c>
      <c r="W110" s="1">
        <v>2.811964750289917</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184</v>
      </c>
      <c r="C111" s="34"/>
      <c r="D111" s="34"/>
      <c r="E111" s="34"/>
      <c r="F111" s="34"/>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2"/>
      <c r="H115" s="122"/>
      <c r="I115" s="122"/>
      <c r="J115" s="122"/>
      <c r="K115" s="122"/>
      <c r="L115" s="122"/>
      <c r="M115" s="122"/>
      <c r="N115" s="122"/>
      <c r="O115" s="122"/>
      <c r="P115" s="122"/>
      <c r="Q115" s="122"/>
      <c r="R115" s="122"/>
      <c r="S115" s="122"/>
      <c r="T115" s="122"/>
      <c r="U115" s="122"/>
      <c r="V115" s="122"/>
      <c r="W115" s="122"/>
    </row>
    <row r="116" spans="2:25" x14ac:dyDescent="0.2">
      <c r="C116" s="34"/>
      <c r="D116" s="34"/>
      <c r="E116" s="34"/>
      <c r="F116" s="34"/>
      <c r="G116" s="122"/>
      <c r="H116" s="122"/>
      <c r="I116" s="122"/>
      <c r="J116" s="122"/>
      <c r="K116" s="122"/>
      <c r="L116" s="122"/>
      <c r="M116" s="122"/>
      <c r="N116" s="122"/>
      <c r="O116" s="122"/>
      <c r="P116" s="122"/>
      <c r="Q116" s="122"/>
      <c r="R116" s="122"/>
      <c r="S116" s="122"/>
      <c r="T116" s="122"/>
      <c r="U116" s="122"/>
      <c r="V116" s="122"/>
      <c r="W116" s="122"/>
    </row>
    <row r="117" spans="2:25" x14ac:dyDescent="0.2">
      <c r="C117" s="36"/>
      <c r="D117" s="123"/>
      <c r="E117" s="123"/>
      <c r="F117" s="123"/>
      <c r="G117" s="123"/>
      <c r="H117" s="123"/>
      <c r="I117" s="123"/>
      <c r="J117" s="123"/>
      <c r="K117" s="123"/>
      <c r="L117" s="123"/>
      <c r="M117" s="123"/>
      <c r="N117" s="123"/>
      <c r="O117" s="123"/>
      <c r="P117" s="123"/>
      <c r="Q117" s="123"/>
      <c r="R117" s="123"/>
      <c r="S117" s="123"/>
      <c r="T117" s="123"/>
      <c r="U117" s="123"/>
      <c r="V117" s="123"/>
      <c r="W117" s="123"/>
    </row>
    <row r="118" spans="2:25" x14ac:dyDescent="0.2">
      <c r="C118" s="36"/>
      <c r="D118" s="36"/>
      <c r="E118" s="34"/>
      <c r="F118" s="34"/>
      <c r="G118" s="122"/>
      <c r="H118" s="122"/>
      <c r="I118" s="122"/>
      <c r="J118" s="122"/>
      <c r="K118" s="122"/>
      <c r="L118" s="122"/>
      <c r="M118" s="122"/>
      <c r="N118" s="122"/>
      <c r="O118" s="122"/>
      <c r="P118" s="122"/>
      <c r="Q118" s="122"/>
      <c r="R118" s="122"/>
      <c r="S118" s="122"/>
      <c r="T118" s="122"/>
      <c r="U118" s="122"/>
      <c r="V118" s="122"/>
      <c r="W118" s="122"/>
    </row>
    <row r="119" spans="2:25" x14ac:dyDescent="0.2">
      <c r="E119" s="34"/>
      <c r="F119" s="34"/>
      <c r="G119" s="122"/>
      <c r="H119" s="122"/>
      <c r="I119" s="122"/>
      <c r="J119" s="122"/>
      <c r="K119" s="122"/>
      <c r="L119" s="122"/>
      <c r="M119" s="122"/>
      <c r="N119" s="122"/>
      <c r="O119" s="122"/>
      <c r="P119" s="122"/>
      <c r="Q119" s="122"/>
      <c r="R119" s="122"/>
      <c r="S119" s="122"/>
      <c r="T119" s="122"/>
      <c r="U119" s="122"/>
      <c r="V119" s="122"/>
      <c r="W119" s="122"/>
      <c r="X119" s="53"/>
      <c r="Y119" s="53"/>
    </row>
    <row r="120" spans="2:25" x14ac:dyDescent="0.2">
      <c r="B120" s="33"/>
      <c r="C120" s="97"/>
      <c r="D120" s="97"/>
      <c r="G120" s="123"/>
      <c r="H120" s="123"/>
      <c r="I120" s="123"/>
      <c r="J120" s="123"/>
      <c r="K120" s="123"/>
      <c r="L120" s="123"/>
      <c r="M120" s="123"/>
      <c r="N120" s="123"/>
      <c r="O120" s="123"/>
      <c r="P120" s="123"/>
      <c r="Q120" s="123"/>
      <c r="R120" s="123"/>
      <c r="S120" s="123"/>
      <c r="T120" s="123"/>
      <c r="U120" s="123"/>
      <c r="V120" s="123"/>
      <c r="W120" s="123"/>
      <c r="X120" s="53"/>
      <c r="Y120" s="53"/>
    </row>
    <row r="121" spans="2:25" x14ac:dyDescent="0.2">
      <c r="C121" s="97"/>
      <c r="D121" s="97"/>
      <c r="E121" s="34"/>
      <c r="F121" s="34"/>
      <c r="G121" s="122"/>
      <c r="H121" s="122"/>
      <c r="I121" s="122"/>
      <c r="J121" s="122"/>
      <c r="K121" s="122"/>
      <c r="L121" s="122"/>
      <c r="M121" s="122"/>
      <c r="N121" s="122"/>
      <c r="O121" s="122"/>
      <c r="P121" s="122"/>
      <c r="Q121" s="122"/>
      <c r="R121" s="122"/>
      <c r="S121" s="122"/>
      <c r="T121" s="122"/>
      <c r="U121" s="122"/>
      <c r="V121" s="122"/>
      <c r="W121" s="122"/>
      <c r="X121" s="53"/>
      <c r="Y121" s="53"/>
    </row>
    <row r="122" spans="2:25" x14ac:dyDescent="0.2">
      <c r="E122" s="34"/>
      <c r="F122" s="34"/>
      <c r="G122" s="122"/>
      <c r="H122" s="122"/>
      <c r="I122" s="122"/>
      <c r="J122" s="122"/>
      <c r="K122" s="122"/>
      <c r="L122" s="122"/>
      <c r="M122" s="122"/>
      <c r="N122" s="122"/>
      <c r="O122" s="122"/>
      <c r="P122" s="122"/>
      <c r="Q122" s="122"/>
      <c r="R122" s="122"/>
      <c r="S122" s="122"/>
      <c r="T122" s="122"/>
      <c r="U122" s="122"/>
      <c r="V122" s="122"/>
      <c r="W122" s="122"/>
      <c r="X122" s="53"/>
      <c r="Y122" s="53"/>
    </row>
    <row r="123" spans="2:25" x14ac:dyDescent="0.2">
      <c r="C123" s="97"/>
      <c r="D123" s="97"/>
      <c r="E123" s="97"/>
      <c r="F123" s="97"/>
      <c r="G123" s="123"/>
      <c r="H123" s="123"/>
      <c r="I123" s="123"/>
      <c r="J123" s="123"/>
      <c r="K123" s="123"/>
      <c r="L123" s="123"/>
      <c r="M123" s="123"/>
      <c r="N123" s="123"/>
      <c r="O123" s="123"/>
      <c r="P123" s="123"/>
      <c r="Q123" s="123"/>
      <c r="R123" s="123"/>
      <c r="S123" s="123"/>
      <c r="T123" s="123"/>
      <c r="U123" s="123"/>
      <c r="V123" s="123"/>
      <c r="W123" s="123"/>
      <c r="X123" s="53"/>
      <c r="Y123" s="53"/>
    </row>
    <row r="124" spans="2:25" x14ac:dyDescent="0.2">
      <c r="E124" s="34"/>
      <c r="F124" s="34"/>
      <c r="G124" s="122"/>
      <c r="H124" s="122"/>
      <c r="I124" s="122"/>
      <c r="J124" s="122"/>
      <c r="K124" s="122"/>
      <c r="L124" s="122"/>
      <c r="M124" s="122"/>
      <c r="N124" s="122"/>
      <c r="O124" s="122"/>
      <c r="P124" s="122"/>
      <c r="Q124" s="122"/>
      <c r="R124" s="122"/>
      <c r="S124" s="122"/>
      <c r="T124" s="122"/>
      <c r="U124" s="122"/>
      <c r="V124" s="122"/>
      <c r="W124" s="122"/>
      <c r="X124" s="53"/>
      <c r="Y124" s="53"/>
    </row>
    <row r="125" spans="2:25" x14ac:dyDescent="0.2">
      <c r="E125" s="34"/>
      <c r="F125" s="34"/>
      <c r="G125" s="122"/>
      <c r="H125" s="122"/>
      <c r="I125" s="122"/>
      <c r="J125" s="122"/>
      <c r="K125" s="122"/>
      <c r="L125" s="122"/>
      <c r="M125" s="122"/>
      <c r="N125" s="122"/>
      <c r="O125" s="122"/>
      <c r="P125" s="122"/>
      <c r="Q125" s="122"/>
      <c r="R125" s="122"/>
      <c r="S125" s="122"/>
      <c r="T125" s="122"/>
      <c r="U125" s="122"/>
      <c r="V125" s="122"/>
      <c r="W125" s="122"/>
      <c r="X125" s="122"/>
      <c r="Y125" s="53"/>
    </row>
    <row r="126" spans="2:25" x14ac:dyDescent="0.2">
      <c r="G126" s="122"/>
      <c r="H126" s="122"/>
      <c r="I126" s="122"/>
      <c r="J126" s="122"/>
      <c r="K126" s="122"/>
      <c r="L126" s="122"/>
      <c r="M126" s="122"/>
      <c r="N126" s="122"/>
      <c r="O126" s="122"/>
      <c r="P126" s="122"/>
      <c r="Q126" s="122"/>
      <c r="R126" s="122"/>
      <c r="S126" s="122"/>
      <c r="T126" s="122"/>
      <c r="U126" s="122"/>
      <c r="V126" s="122"/>
      <c r="W126" s="122"/>
      <c r="X126" s="122"/>
      <c r="Y126" s="53"/>
    </row>
    <row r="127" spans="2:25" x14ac:dyDescent="0.2">
      <c r="C127" s="97"/>
      <c r="D127" s="97"/>
      <c r="E127" s="34"/>
      <c r="F127" s="34"/>
      <c r="G127" s="122"/>
      <c r="H127" s="122"/>
      <c r="I127" s="122"/>
      <c r="J127" s="122"/>
      <c r="K127" s="122"/>
      <c r="L127" s="122"/>
      <c r="M127" s="122"/>
      <c r="N127" s="122"/>
      <c r="O127" s="122"/>
      <c r="P127" s="122"/>
      <c r="Q127" s="122"/>
      <c r="R127" s="122"/>
      <c r="S127" s="122"/>
      <c r="T127" s="122"/>
      <c r="U127" s="122"/>
      <c r="V127" s="122"/>
      <c r="W127" s="122"/>
      <c r="X127" s="122"/>
      <c r="Y127" s="53"/>
    </row>
    <row r="128" spans="2:25" x14ac:dyDescent="0.2">
      <c r="E128" s="34"/>
      <c r="F128" s="34"/>
      <c r="G128" s="122"/>
      <c r="H128" s="122"/>
      <c r="I128" s="122"/>
      <c r="J128" s="122"/>
      <c r="K128" s="122"/>
      <c r="L128" s="122"/>
      <c r="M128" s="122"/>
      <c r="N128" s="122"/>
      <c r="O128" s="122"/>
      <c r="P128" s="122"/>
      <c r="Q128" s="122"/>
      <c r="R128" s="122"/>
      <c r="S128" s="122"/>
      <c r="T128" s="122"/>
      <c r="U128" s="122"/>
      <c r="V128" s="122"/>
      <c r="W128" s="122"/>
      <c r="X128" s="122"/>
      <c r="Y128" s="53"/>
    </row>
    <row r="129" spans="6:25" x14ac:dyDescent="0.2">
      <c r="G129" s="122"/>
      <c r="H129" s="122"/>
      <c r="I129" s="122"/>
      <c r="J129" s="122"/>
      <c r="K129" s="122"/>
      <c r="L129" s="122"/>
      <c r="M129" s="122"/>
      <c r="N129" s="122"/>
      <c r="O129" s="122"/>
      <c r="P129" s="122"/>
      <c r="Q129" s="122"/>
      <c r="R129" s="122"/>
      <c r="S129" s="122"/>
      <c r="T129" s="122"/>
      <c r="U129" s="122"/>
      <c r="V129" s="122"/>
      <c r="W129" s="122"/>
      <c r="X129" s="122"/>
      <c r="Y129" s="53"/>
    </row>
    <row r="130" spans="6:25" x14ac:dyDescent="0.2">
      <c r="F130" s="34"/>
      <c r="G130" s="122"/>
      <c r="H130" s="122"/>
      <c r="I130" s="122"/>
      <c r="J130" s="122"/>
      <c r="K130" s="122"/>
      <c r="L130" s="122"/>
      <c r="M130" s="122"/>
      <c r="N130" s="122"/>
      <c r="O130" s="122"/>
      <c r="P130" s="122"/>
      <c r="Q130" s="122"/>
      <c r="R130" s="122"/>
      <c r="S130" s="122"/>
      <c r="T130" s="122"/>
      <c r="U130" s="122"/>
      <c r="V130" s="122"/>
      <c r="W130" s="122"/>
      <c r="X130" s="122"/>
      <c r="Y130" s="53"/>
    </row>
    <row r="131" spans="6:25" x14ac:dyDescent="0.2">
      <c r="G131" s="122"/>
      <c r="H131" s="122"/>
      <c r="I131" s="122"/>
      <c r="J131" s="122"/>
      <c r="K131" s="122"/>
      <c r="L131" s="122"/>
      <c r="M131" s="122"/>
      <c r="N131" s="122"/>
      <c r="O131" s="122"/>
      <c r="P131" s="122"/>
      <c r="Q131" s="122"/>
      <c r="R131" s="122"/>
      <c r="S131" s="122"/>
      <c r="T131" s="122"/>
      <c r="U131" s="122"/>
      <c r="V131" s="122"/>
      <c r="W131" s="122"/>
      <c r="X131" s="122"/>
      <c r="Y131" s="53"/>
    </row>
    <row r="132" spans="6:25" x14ac:dyDescent="0.2">
      <c r="G132" s="122"/>
      <c r="H132" s="122"/>
      <c r="I132" s="122"/>
      <c r="J132" s="122"/>
      <c r="K132" s="122"/>
      <c r="L132" s="122"/>
      <c r="M132" s="122"/>
      <c r="N132" s="122"/>
      <c r="O132" s="122"/>
      <c r="P132" s="122"/>
      <c r="Q132" s="122"/>
      <c r="R132" s="122"/>
      <c r="S132" s="122"/>
      <c r="T132" s="122"/>
      <c r="U132" s="122"/>
      <c r="V132" s="122"/>
      <c r="W132" s="122"/>
      <c r="X132" s="122"/>
    </row>
  </sheetData>
  <conditionalFormatting sqref="K22:M24 K27:M27 K37:M38">
    <cfRule type="expression" dxfId="12" priority="23">
      <formula>K$10&lt;=$C$6</formula>
    </cfRule>
  </conditionalFormatting>
  <conditionalFormatting sqref="G12:M12">
    <cfRule type="expression" dxfId="11" priority="80">
      <formula>AND(G10&gt;$C$5,G10&lt;=$C$6)</formula>
    </cfRule>
  </conditionalFormatting>
  <conditionalFormatting sqref="U10:W44 U46:W53 U55:W77 U79:W100 U102:W130">
    <cfRule type="expression" dxfId="10"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11" id="{47096C19-0CC0-4A07-971C-858ECF0661D5}">
            <xm:f>'Criteria results'!$F$5=7</xm:f>
            <x14:dxf>
              <fill>
                <patternFill>
                  <bgColor theme="0"/>
                </patternFill>
              </fill>
            </x14:dxf>
          </x14:cfRule>
          <xm:sqref>K52</xm:sqref>
        </x14:conditionalFormatting>
        <x14:conditionalFormatting xmlns:xm="http://schemas.microsoft.com/office/excel/2006/main">
          <x14:cfRule type="expression" priority="10" id="{1BFFC212-476D-44E4-A610-AF76A344A99F}">
            <xm:f>'Criteria results'!$F$5=7</xm:f>
            <x14:dxf>
              <fill>
                <patternFill>
                  <bgColor theme="0"/>
                </patternFill>
              </fill>
            </x14:dxf>
          </x14:cfRule>
          <xm:sqref>L52</xm:sqref>
        </x14:conditionalFormatting>
        <x14:conditionalFormatting xmlns:xm="http://schemas.microsoft.com/office/excel/2006/main">
          <x14:cfRule type="expression" priority="9" id="{4EACEE69-D13B-4A8D-9236-28646E633B5B}">
            <xm:f>'Criteria results'!$F$5=7</xm:f>
            <x14:dxf>
              <fill>
                <patternFill>
                  <bgColor theme="0"/>
                </patternFill>
              </fill>
            </x14:dxf>
          </x14:cfRule>
          <xm:sqref>M52</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5546875" defaultRowHeight="12.75" x14ac:dyDescent="0.2"/>
  <cols>
    <col min="1" max="1" width="8.85546875" style="5"/>
    <col min="2" max="2" width="43.42578125" style="5" customWidth="1"/>
    <col min="3" max="16384" width="8.85546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CY</v>
      </c>
    </row>
    <row r="4" spans="1:50" s="26" customFormat="1" ht="11.25" x14ac:dyDescent="0.2">
      <c r="B4" s="64" t="s">
        <v>38</v>
      </c>
      <c r="C4" s="21"/>
    </row>
    <row r="5" spans="1:50" s="26" customFormat="1" ht="11.25" x14ac:dyDescent="0.2">
      <c r="A5" s="29"/>
      <c r="B5" s="22" t="str">
        <f>'Input data'!B5</f>
        <v>Last year before the adjustment</v>
      </c>
      <c r="C5" s="23">
        <f>+'Input data'!C5</f>
        <v>2024</v>
      </c>
    </row>
    <row r="6" spans="1:50" s="26" customFormat="1" ht="11.25" x14ac:dyDescent="0.2">
      <c r="A6" s="29"/>
      <c r="B6" s="65" t="s">
        <v>149</v>
      </c>
      <c r="C6" s="23">
        <f>C5+'Criteria results'!F5+1</f>
        <v>2029</v>
      </c>
      <c r="E6" s="43"/>
      <c r="F6" s="29"/>
    </row>
    <row r="7" spans="1:50" s="26" customFormat="1" ht="11.25" x14ac:dyDescent="0.2">
      <c r="A7" s="29"/>
      <c r="B7" s="24" t="s">
        <v>150</v>
      </c>
      <c r="C7" s="66">
        <f>C6+4</f>
        <v>2033</v>
      </c>
      <c r="E7" s="43"/>
      <c r="F7" s="29"/>
    </row>
    <row r="8" spans="1:50" s="26" customFormat="1" ht="11.25" x14ac:dyDescent="0.2">
      <c r="A8" s="29"/>
      <c r="C8" s="29"/>
      <c r="E8" s="43"/>
      <c r="F8" s="29"/>
    </row>
    <row r="9" spans="1:50" s="67" customFormat="1" ht="11.25" x14ac:dyDescent="0.2">
      <c r="B9" s="90" t="s">
        <v>151</v>
      </c>
    </row>
    <row r="10" spans="1:50" s="26" customFormat="1" ht="11.25"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
      <c r="B11" s="91" t="s">
        <v>187</v>
      </c>
      <c r="C11" s="83">
        <f>'Adjust. no safeguard'!C57</f>
        <v>99.250230000000002</v>
      </c>
      <c r="D11" s="83">
        <f>'Adjust. no safeguard'!D57</f>
        <v>85.595287844886869</v>
      </c>
      <c r="E11" s="83">
        <f>'Adjust. no safeguard'!E57</f>
        <v>77.284440321959977</v>
      </c>
      <c r="F11" s="83">
        <f>'Adjust. no safeguard'!F57</f>
        <v>70.579945075187567</v>
      </c>
      <c r="G11" s="83">
        <f>'Adjust. no safeguard'!G57</f>
        <v>65.467738950078513</v>
      </c>
      <c r="H11" s="83">
        <f>'Adjust. no safeguard'!H57</f>
        <v>59.99104804318636</v>
      </c>
      <c r="I11" s="83">
        <f>'Adjust. no safeguard'!I57</f>
        <v>55.344336413083951</v>
      </c>
      <c r="J11" s="83">
        <f>'Adjust. no safeguard'!J57</f>
        <v>50.929639670376446</v>
      </c>
      <c r="K11" s="83">
        <f>'Adjust. no safeguard'!K57</f>
        <v>46.496687645996076</v>
      </c>
      <c r="L11" s="83">
        <f>'Adjust. no safeguard'!L57</f>
        <v>42.459373869564104</v>
      </c>
      <c r="M11" s="83">
        <f>'Adjust. no safeguard'!M57</f>
        <v>38.775312732290459</v>
      </c>
      <c r="N11" s="83">
        <f>'Adjust. no safeguard'!N57</f>
        <v>35.374126048899583</v>
      </c>
      <c r="O11" s="83">
        <f>'Adjust. no safeguard'!O57</f>
        <v>32.262514939085726</v>
      </c>
      <c r="P11" s="83">
        <f>'Adjust. no safeguard'!P57</f>
        <v>29.340409626930644</v>
      </c>
      <c r="Q11" s="83">
        <f>'Adjust. no safeguard'!Q57</f>
        <v>26.665659419907438</v>
      </c>
      <c r="R11" s="83">
        <f>'Adjust. no safeguard'!R57</f>
        <v>24.168336235214845</v>
      </c>
      <c r="S11" s="83">
        <f>'Adjust. no safeguard'!S57</f>
        <v>21.808684985207481</v>
      </c>
      <c r="T11" s="83">
        <f>'Adjust. no safeguard'!T57</f>
        <v>19.585857825183719</v>
      </c>
      <c r="U11" s="83">
        <f>'Adjust. no safeguard'!U57</f>
        <v>17.188179668616975</v>
      </c>
      <c r="V11" s="83">
        <f>'Adjust. no safeguard'!V57</f>
        <v>15.006288509813093</v>
      </c>
      <c r="W11" s="83">
        <f>'Adjust. no safeguard'!W57</f>
        <v>12.883662123244548</v>
      </c>
    </row>
    <row r="12" spans="1:50" s="26" customFormat="1" ht="11.25" x14ac:dyDescent="0.2">
      <c r="A12" s="29"/>
      <c r="C12" s="29"/>
      <c r="E12" s="43"/>
      <c r="F12" s="29"/>
    </row>
    <row r="13" spans="1:50" s="67" customFormat="1" ht="11.25" x14ac:dyDescent="0.2">
      <c r="B13" s="90" t="s">
        <v>152</v>
      </c>
    </row>
    <row r="14" spans="1:50" x14ac:dyDescent="0.2">
      <c r="B14" s="5" t="s">
        <v>153</v>
      </c>
      <c r="C14" s="83">
        <f>C$11</f>
        <v>99.250230000000002</v>
      </c>
      <c r="D14" s="83">
        <f t="shared" ref="D14:J18" si="0">D$11</f>
        <v>85.595287844886869</v>
      </c>
      <c r="E14" s="83">
        <f t="shared" si="0"/>
        <v>77.284440321959977</v>
      </c>
      <c r="F14" s="83">
        <f t="shared" si="0"/>
        <v>70.579945075187567</v>
      </c>
      <c r="G14" s="83">
        <f t="shared" si="0"/>
        <v>65.467738950078513</v>
      </c>
      <c r="H14" s="83">
        <f t="shared" si="0"/>
        <v>59.99104804318636</v>
      </c>
      <c r="I14" s="83">
        <f t="shared" si="0"/>
        <v>55.344336413083951</v>
      </c>
      <c r="J14" s="83">
        <f>J$11</f>
        <v>50.929639670376446</v>
      </c>
      <c r="K14" s="83">
        <f>IF('Criteria results'!$F$5=4,K$11+'Input data'!C74,K$11)</f>
        <v>36.643095727050763</v>
      </c>
      <c r="L14" s="83">
        <f>IF('Criteria results'!$F$5=4,L$11+'Input data'!D74,L$11)</f>
        <v>28.679424681331682</v>
      </c>
      <c r="M14" s="83">
        <f>IF('Criteria results'!$F$5=4,M$11+'Input data'!E74,M$11)</f>
        <v>21.86951095921917</v>
      </c>
      <c r="N14" s="83">
        <f>IF('Criteria results'!$F$5=4,N$11+'Input data'!F74,N$11+'Input data'!C74)</f>
        <v>16.520080180979662</v>
      </c>
      <c r="O14" s="83">
        <f>IF('Criteria results'!$F$5=4,O$11+'Input data'!G74,O$11+'Input data'!D74)</f>
        <v>11.157145371214632</v>
      </c>
      <c r="P14" s="83" t="str">
        <f>IF('Criteria results'!$F$5=4,"",Stochastic!P$11+'Input data'!E74)</f>
        <v/>
      </c>
      <c r="Q14" s="83" t="str">
        <f>IF('Criteria results'!$F$5=4,"",Stochastic!Q$11+'Input data'!F74)</f>
        <v/>
      </c>
      <c r="R14" s="83" t="str">
        <f>IF('Criteria results'!$F$5=4,"",Stochastic!R$11+'Input data'!G74)</f>
        <v/>
      </c>
    </row>
    <row r="15" spans="1:50" x14ac:dyDescent="0.2">
      <c r="B15" s="5" t="s">
        <v>154</v>
      </c>
      <c r="C15" s="83">
        <f t="shared" ref="C15:C18" si="1">C$11</f>
        <v>99.250230000000002</v>
      </c>
      <c r="D15" s="83">
        <f t="shared" si="0"/>
        <v>85.595287844886869</v>
      </c>
      <c r="E15" s="83">
        <f t="shared" si="0"/>
        <v>77.284440321959977</v>
      </c>
      <c r="F15" s="83">
        <f t="shared" si="0"/>
        <v>70.579945075187567</v>
      </c>
      <c r="G15" s="83">
        <f t="shared" si="0"/>
        <v>65.467738950078513</v>
      </c>
      <c r="H15" s="83">
        <f t="shared" si="0"/>
        <v>59.99104804318636</v>
      </c>
      <c r="I15" s="83">
        <f t="shared" si="0"/>
        <v>55.344336413083951</v>
      </c>
      <c r="J15" s="83">
        <f t="shared" si="0"/>
        <v>50.929639670376446</v>
      </c>
      <c r="K15" s="83">
        <f>IF('Criteria results'!$F$5=4,K$11+'Input data'!C75,K$11)</f>
        <v>42.483919854248029</v>
      </c>
      <c r="L15" s="83">
        <f>IF('Criteria results'!$F$5=4,L$11+'Input data'!D75,L$11)</f>
        <v>36.507900633480119</v>
      </c>
      <c r="M15" s="83">
        <f>IF('Criteria results'!$F$5=4,M$11+'Input data'!E75,M$11)</f>
        <v>31.880583118032646</v>
      </c>
      <c r="N15" s="83">
        <f>IF('Criteria results'!$F$5=4,N$11+'Input data'!F75,N$11+'Input data'!C75)</f>
        <v>27.443313213206224</v>
      </c>
      <c r="O15" s="83">
        <f>IF('Criteria results'!$F$5=4,O$11+'Input data'!G75,O$11+'Input data'!D75)</f>
        <v>23.568327774779085</v>
      </c>
      <c r="P15" s="83" t="str">
        <f>IF('Criteria results'!$F$5=4,"",Stochastic!P$11+'Input data'!E75)</f>
        <v/>
      </c>
      <c r="Q15" s="83" t="str">
        <f>IF('Criteria results'!$F$5=4,"",Stochastic!Q$11+'Input data'!F75)</f>
        <v/>
      </c>
      <c r="R15" s="83" t="str">
        <f>IF('Criteria results'!$F$5=4,"",Stochastic!R$11+'Input data'!G75)</f>
        <v/>
      </c>
    </row>
    <row r="16" spans="1:50" x14ac:dyDescent="0.2">
      <c r="B16" s="5" t="s">
        <v>188</v>
      </c>
      <c r="C16" s="83">
        <f t="shared" si="1"/>
        <v>99.250230000000002</v>
      </c>
      <c r="D16" s="83">
        <f t="shared" si="0"/>
        <v>85.595287844886869</v>
      </c>
      <c r="E16" s="83">
        <f t="shared" si="0"/>
        <v>77.284440321959977</v>
      </c>
      <c r="F16" s="83">
        <f t="shared" si="0"/>
        <v>70.579945075187567</v>
      </c>
      <c r="G16" s="83">
        <f t="shared" si="0"/>
        <v>65.467738950078513</v>
      </c>
      <c r="H16" s="83">
        <f t="shared" si="0"/>
        <v>59.99104804318636</v>
      </c>
      <c r="I16" s="83">
        <f t="shared" si="0"/>
        <v>55.344336413083951</v>
      </c>
      <c r="J16" s="83">
        <f t="shared" si="0"/>
        <v>50.929639670376446</v>
      </c>
      <c r="K16" s="83">
        <f>K11</f>
        <v>46.496687645996076</v>
      </c>
      <c r="L16" s="83">
        <f t="shared" ref="L16:O16" si="2">L11</f>
        <v>42.459373869564104</v>
      </c>
      <c r="M16" s="83">
        <f t="shared" si="2"/>
        <v>38.775312732290459</v>
      </c>
      <c r="N16" s="83">
        <f t="shared" si="2"/>
        <v>35.374126048899583</v>
      </c>
      <c r="O16" s="83">
        <f t="shared" si="2"/>
        <v>32.262514939085726</v>
      </c>
      <c r="P16" s="83" t="str">
        <f>IF('Criteria results'!$F$5=4,"",Stochastic!P$11)</f>
        <v/>
      </c>
      <c r="Q16" s="83" t="str">
        <f>IF('Criteria results'!$F$5=4,"",Stochastic!Q$11)</f>
        <v/>
      </c>
      <c r="R16" s="83" t="str">
        <f>IF('Criteria results'!$F$5=4,"",Stochastic!R$11)</f>
        <v/>
      </c>
    </row>
    <row r="17" spans="2:18" x14ac:dyDescent="0.2">
      <c r="B17" s="5" t="s">
        <v>155</v>
      </c>
      <c r="C17" s="83">
        <f t="shared" si="1"/>
        <v>99.250230000000002</v>
      </c>
      <c r="D17" s="83">
        <f t="shared" si="0"/>
        <v>85.595287844886869</v>
      </c>
      <c r="E17" s="83">
        <f t="shared" si="0"/>
        <v>77.284440321959977</v>
      </c>
      <c r="F17" s="83">
        <f t="shared" si="0"/>
        <v>70.579945075187567</v>
      </c>
      <c r="G17" s="83">
        <f t="shared" si="0"/>
        <v>65.467738950078513</v>
      </c>
      <c r="H17" s="83">
        <f t="shared" si="0"/>
        <v>59.99104804318636</v>
      </c>
      <c r="I17" s="83">
        <f t="shared" si="0"/>
        <v>55.344336413083951</v>
      </c>
      <c r="J17" s="83">
        <f t="shared" si="0"/>
        <v>50.929639670376446</v>
      </c>
      <c r="K17" s="83">
        <f>IF('Criteria results'!$F$5=4,K$11+'Input data'!C76,K$11)</f>
        <v>50.474539513671857</v>
      </c>
      <c r="L17" s="83">
        <f>IF('Criteria results'!$F$5=4,L$11+'Input data'!D76,L$11)</f>
        <v>48.116741575862932</v>
      </c>
      <c r="M17" s="83">
        <f>IF('Criteria results'!$F$5=4,M$11+'Input data'!E76,M$11)</f>
        <v>45.508924792837334</v>
      </c>
      <c r="N17" s="83">
        <f>IF('Criteria results'!$F$5=4,N$11+'Input data'!F76,N$11+'Input data'!C76)</f>
        <v>43.114539714671068</v>
      </c>
      <c r="O17" s="83">
        <f>IF('Criteria results'!$F$5=4,O$11+'Input data'!G76,O$11+'Input data'!D76)</f>
        <v>41.11089979626346</v>
      </c>
      <c r="P17" s="83" t="str">
        <f>IF('Criteria results'!$F$5=4,"",Stochastic!P$11+'Input data'!E76)</f>
        <v/>
      </c>
      <c r="Q17" s="83" t="str">
        <f>IF('Criteria results'!$F$5=4,"",Stochastic!Q$11+'Input data'!F76)</f>
        <v/>
      </c>
      <c r="R17" s="83" t="str">
        <f>IF('Criteria results'!$F$5=4,"",Stochastic!R$11+'Input data'!G76)</f>
        <v/>
      </c>
    </row>
    <row r="18" spans="2:18" x14ac:dyDescent="0.2">
      <c r="B18" s="5" t="s">
        <v>156</v>
      </c>
      <c r="C18" s="83">
        <f t="shared" si="1"/>
        <v>99.250230000000002</v>
      </c>
      <c r="D18" s="83">
        <f t="shared" si="0"/>
        <v>85.595287844886869</v>
      </c>
      <c r="E18" s="83">
        <f t="shared" si="0"/>
        <v>77.284440321959977</v>
      </c>
      <c r="F18" s="83">
        <f t="shared" si="0"/>
        <v>70.579945075187567</v>
      </c>
      <c r="G18" s="83">
        <f t="shared" si="0"/>
        <v>65.467738950078513</v>
      </c>
      <c r="H18" s="83">
        <f t="shared" si="0"/>
        <v>59.99104804318636</v>
      </c>
      <c r="I18" s="83">
        <f t="shared" si="0"/>
        <v>55.344336413083951</v>
      </c>
      <c r="J18" s="83">
        <f t="shared" si="0"/>
        <v>50.929639670376446</v>
      </c>
      <c r="K18" s="83">
        <f>IF('Criteria results'!$F$5=4,K$11+'Input data'!C77,K$11)</f>
        <v>56.363478417480451</v>
      </c>
      <c r="L18" s="83">
        <f>IF('Criteria results'!$F$5=4,L$11+'Input data'!D77,L$11)</f>
        <v>56.167099394466447</v>
      </c>
      <c r="M18" s="83">
        <f>IF('Criteria results'!$F$5=4,M$11+'Input data'!E77,M$11)</f>
        <v>55.615392993520928</v>
      </c>
      <c r="N18" s="83">
        <f>IF('Criteria results'!$F$5=4,N$11+'Input data'!F77,N$11+'Input data'!C77)</f>
        <v>54.745917888499193</v>
      </c>
      <c r="O18" s="83">
        <f>IF('Criteria results'!$F$5=4,O$11+'Input data'!G77,O$11+'Input data'!D77)</f>
        <v>53.82412229992557</v>
      </c>
      <c r="P18" s="83" t="str">
        <f>IF('Criteria results'!$F$5=4,"",Stochastic!P$11+'Input data'!E77)</f>
        <v/>
      </c>
      <c r="Q18" s="83" t="str">
        <f>IF('Criteria results'!$F$5=4,"",Stochastic!Q$11+'Input data'!F77)</f>
        <v/>
      </c>
      <c r="R18" s="83" t="str">
        <f>IF('Criteria results'!$F$5=4,"",Stochastic!R$11+'Input data'!G77)</f>
        <v/>
      </c>
    </row>
    <row r="20" spans="2:18" s="67" customFormat="1" ht="11.25" x14ac:dyDescent="0.2">
      <c r="B20" s="90" t="s">
        <v>157</v>
      </c>
    </row>
    <row r="21" spans="2:18" s="26" customFormat="1" x14ac:dyDescent="0.2">
      <c r="B21" s="81" t="str">
        <f>"Stochastic debt projections "&amp;E21&amp;"-"&amp;I21</f>
        <v>Stochastic debt projections 2029-2033</v>
      </c>
      <c r="C21" s="82">
        <f>IF('Criteria results'!$F$5=4,I10,L10)</f>
        <v>2027</v>
      </c>
      <c r="D21" s="82">
        <f>IF('Criteria results'!$F$5=4,J10,M10)</f>
        <v>2028</v>
      </c>
      <c r="E21" s="82">
        <f>IF('Criteria results'!$F$5=4,K10,N10)</f>
        <v>2029</v>
      </c>
      <c r="F21" s="82">
        <f>IF('Criteria results'!$F$5=4,L10,O10)</f>
        <v>2030</v>
      </c>
      <c r="G21" s="82">
        <f>IF('Criteria results'!$F$5=4,M10,P10)</f>
        <v>2031</v>
      </c>
      <c r="H21" s="82">
        <f>IF('Criteria results'!$F$5=4,N10,Q10)</f>
        <v>2032</v>
      </c>
      <c r="I21" s="82">
        <f>IF('Criteria results'!$F$5=4,O10,R10)</f>
        <v>2033</v>
      </c>
    </row>
    <row r="22" spans="2:18" x14ac:dyDescent="0.2">
      <c r="B22" s="5" t="s">
        <v>153</v>
      </c>
      <c r="C22" s="83">
        <f>IF('Criteria results'!$F$5=4,I$11,L$11)</f>
        <v>55.344336413083951</v>
      </c>
      <c r="D22" s="83">
        <f>IF('Criteria results'!$F$5=4,J$11,M$11)</f>
        <v>50.929639670376446</v>
      </c>
      <c r="E22" s="83">
        <f>IF('Criteria results'!$F$5=4,K$11+'Input data'!C74,N$11+'Input data'!C74)</f>
        <v>36.643095727050763</v>
      </c>
      <c r="F22" s="83">
        <f>IF('Criteria results'!$F$5=4,L$11+'Input data'!D74,O$11+'Input data'!D74)</f>
        <v>28.679424681331682</v>
      </c>
      <c r="G22" s="83">
        <f>IF('Criteria results'!$F$5=4,M$11+'Input data'!E74,P$11+'Input data'!E74)</f>
        <v>21.86951095921917</v>
      </c>
      <c r="H22" s="83">
        <f>IF('Criteria results'!$F$5=4,N$11+'Input data'!F74,Q$11+'Input data'!F74)</f>
        <v>16.520080180979662</v>
      </c>
      <c r="I22" s="83">
        <f>IF('Criteria results'!$F$5=4,O$11+'Input data'!G74,R$11+'Input data'!G74)</f>
        <v>11.157145371214632</v>
      </c>
      <c r="P22" s="83"/>
      <c r="Q22" s="83"/>
      <c r="R22" s="83"/>
    </row>
    <row r="23" spans="2:18" x14ac:dyDescent="0.2">
      <c r="B23" s="5" t="s">
        <v>158</v>
      </c>
      <c r="C23" s="83">
        <v>0</v>
      </c>
      <c r="D23" s="83">
        <v>0</v>
      </c>
      <c r="E23" s="83">
        <f>'Input data'!C75-'Input data'!C74</f>
        <v>5.8408241271972656</v>
      </c>
      <c r="F23" s="83">
        <f>'Input data'!D75-'Input data'!D74</f>
        <v>7.8284759521484375</v>
      </c>
      <c r="G23" s="83">
        <f>'Input data'!E75-'Input data'!E74</f>
        <v>10.011072158813477</v>
      </c>
      <c r="H23" s="83">
        <f>'Input data'!F75-'Input data'!F74</f>
        <v>10.923233032226563</v>
      </c>
      <c r="I23" s="83">
        <f>'Input data'!G75-'Input data'!G74</f>
        <v>12.411182403564453</v>
      </c>
      <c r="P23" s="83"/>
      <c r="Q23" s="83"/>
      <c r="R23" s="83"/>
    </row>
    <row r="24" spans="2:18" x14ac:dyDescent="0.2">
      <c r="B24" s="5" t="s">
        <v>159</v>
      </c>
      <c r="C24" s="83">
        <v>0</v>
      </c>
      <c r="D24" s="83">
        <v>0</v>
      </c>
      <c r="E24" s="83">
        <f>-'Input data'!C75</f>
        <v>4.0127677917480469</v>
      </c>
      <c r="F24" s="83">
        <f>-'Input data'!D75</f>
        <v>5.9514732360839844</v>
      </c>
      <c r="G24" s="83">
        <f>-'Input data'!E75</f>
        <v>6.8947296142578125</v>
      </c>
      <c r="H24" s="83">
        <f>-'Input data'!F75</f>
        <v>7.9308128356933594</v>
      </c>
      <c r="I24" s="83">
        <f>-'Input data'!G75</f>
        <v>8.6941871643066406</v>
      </c>
      <c r="P24" s="83"/>
      <c r="Q24" s="83"/>
      <c r="R24" s="83"/>
    </row>
    <row r="25" spans="2:18" x14ac:dyDescent="0.2">
      <c r="B25" s="5" t="s">
        <v>160</v>
      </c>
      <c r="C25" s="83">
        <v>0</v>
      </c>
      <c r="D25" s="83">
        <v>0</v>
      </c>
      <c r="E25" s="83">
        <f>'Input data'!C76</f>
        <v>3.9778518676757813</v>
      </c>
      <c r="F25" s="83">
        <f>'Input data'!D76</f>
        <v>5.6573677062988281</v>
      </c>
      <c r="G25" s="83">
        <f>'Input data'!E76</f>
        <v>6.733612060546875</v>
      </c>
      <c r="H25" s="83">
        <f>'Input data'!F76</f>
        <v>7.7404136657714844</v>
      </c>
      <c r="I25" s="83">
        <f>'Input data'!G76</f>
        <v>8.8483848571777344</v>
      </c>
      <c r="P25" s="83"/>
      <c r="Q25" s="83"/>
      <c r="R25" s="83"/>
    </row>
    <row r="26" spans="2:18" x14ac:dyDescent="0.2">
      <c r="B26" s="5" t="s">
        <v>161</v>
      </c>
      <c r="C26" s="83">
        <v>0</v>
      </c>
      <c r="D26" s="83">
        <v>0</v>
      </c>
      <c r="E26" s="83">
        <f>'Input data'!C77-'Input data'!C76</f>
        <v>5.8889389038085938</v>
      </c>
      <c r="F26" s="83">
        <f>'Input data'!D77-'Input data'!D76</f>
        <v>8.0503578186035156</v>
      </c>
      <c r="G26" s="83">
        <f>'Input data'!E77-'Input data'!E76</f>
        <v>10.106468200683594</v>
      </c>
      <c r="H26" s="83">
        <f>'Input data'!F77-'Input data'!F76</f>
        <v>11.631378173828125</v>
      </c>
      <c r="I26" s="83">
        <f>'Input data'!G77-'Input data'!G76</f>
        <v>12.713222503662109</v>
      </c>
      <c r="P26" s="83"/>
      <c r="Q26" s="83"/>
      <c r="R26" s="83"/>
    </row>
    <row r="27" spans="2:18" x14ac:dyDescent="0.2">
      <c r="B27" s="5" t="s">
        <v>153</v>
      </c>
      <c r="C27" s="83">
        <f>IF('Criteria results'!$F$5=4,I$11,L$11)</f>
        <v>55.344336413083951</v>
      </c>
      <c r="D27" s="83">
        <f>IF('Criteria results'!$F$5=4,J$11,M$11)</f>
        <v>50.929639670376446</v>
      </c>
      <c r="E27" s="83">
        <f>IF('Criteria results'!$F$5=4,K$11+'Input data'!C74,N$11+'Input data'!C74)</f>
        <v>36.643095727050763</v>
      </c>
      <c r="F27" s="83">
        <f>IF('Criteria results'!$F$5=4,L$11+'Input data'!D74,O$11+'Input data'!D74)</f>
        <v>28.679424681331682</v>
      </c>
      <c r="G27" s="83">
        <f>IF('Criteria results'!$F$5=4,M$11+'Input data'!E74,P$11+'Input data'!E74)</f>
        <v>21.86951095921917</v>
      </c>
      <c r="H27" s="83">
        <f>IF('Criteria results'!$F$5=4,N$11+'Input data'!F74,Q$11+'Input data'!F74)</f>
        <v>16.520080180979662</v>
      </c>
      <c r="I27" s="83">
        <f>IF('Criteria results'!$F$5=4,O$11+'Input data'!G74,R$11+'Input data'!G74)</f>
        <v>11.157145371214632</v>
      </c>
    </row>
    <row r="28" spans="2:18" x14ac:dyDescent="0.2">
      <c r="B28" s="5" t="s">
        <v>154</v>
      </c>
      <c r="C28" s="83">
        <f>IF('Criteria results'!$F$5=4,I$11,L$11)</f>
        <v>55.344336413083951</v>
      </c>
      <c r="D28" s="83">
        <f>IF('Criteria results'!$F$5=4,J$11,M$11)</f>
        <v>50.929639670376446</v>
      </c>
      <c r="E28" s="83">
        <f>IF('Criteria results'!$F$5=4,K$11+'Input data'!C75,N$11+'Input data'!C75)</f>
        <v>42.483919854248029</v>
      </c>
      <c r="F28" s="83">
        <f>IF('Criteria results'!$F$5=4,L$11+'Input data'!D75,O$11+'Input data'!D75)</f>
        <v>36.507900633480119</v>
      </c>
      <c r="G28" s="83">
        <f>IF('Criteria results'!$F$5=4,M$11+'Input data'!E75,P$11+'Input data'!E75)</f>
        <v>31.880583118032646</v>
      </c>
      <c r="H28" s="83">
        <f>IF('Criteria results'!$F$5=4,N$11+'Input data'!F75,Q$11+'Input data'!F75)</f>
        <v>27.443313213206224</v>
      </c>
      <c r="I28" s="83">
        <f>IF('Criteria results'!$F$5=4,O$11+'Input data'!G75,R$11+'Input data'!G75)</f>
        <v>23.568327774779085</v>
      </c>
      <c r="P28" s="83"/>
      <c r="Q28" s="83"/>
      <c r="R28" s="83"/>
    </row>
    <row r="29" spans="2:18" x14ac:dyDescent="0.2">
      <c r="B29" s="5" t="s">
        <v>162</v>
      </c>
      <c r="C29" s="83">
        <f>IF('Criteria results'!$F$5=4,I$11,L$11)</f>
        <v>55.344336413083951</v>
      </c>
      <c r="D29" s="83">
        <f>IF('Criteria results'!$F$5=4,J$11,M$11)</f>
        <v>50.929639670376446</v>
      </c>
      <c r="E29" s="83">
        <f>IF('Criteria results'!$F$5=4,K$11,N$11)</f>
        <v>46.496687645996076</v>
      </c>
      <c r="F29" s="83">
        <f>IF('Criteria results'!$F$5=4,L$11,O$11)</f>
        <v>42.459373869564104</v>
      </c>
      <c r="G29" s="83">
        <f>IF('Criteria results'!$F$5=4,M$11,P$11)</f>
        <v>38.775312732290459</v>
      </c>
      <c r="H29" s="83">
        <f>IF('Criteria results'!$F$5=4,N$11,Q$11)</f>
        <v>35.374126048899583</v>
      </c>
      <c r="I29" s="83">
        <f>IF('Criteria results'!$F$5=4,O$11,R$11)</f>
        <v>32.262514939085726</v>
      </c>
      <c r="P29" s="83"/>
      <c r="Q29" s="83"/>
      <c r="R29" s="83"/>
    </row>
    <row r="30" spans="2:18" x14ac:dyDescent="0.2">
      <c r="B30" s="5" t="s">
        <v>155</v>
      </c>
      <c r="C30" s="83">
        <f>IF('Criteria results'!$F$5=4,I$11,L$11)</f>
        <v>55.344336413083951</v>
      </c>
      <c r="D30" s="83">
        <f>IF('Criteria results'!$F$5=4,J$11,M$11)</f>
        <v>50.929639670376446</v>
      </c>
      <c r="E30" s="83">
        <f>IF('Criteria results'!$F$5=4,K$11+'Input data'!C76,N$11+'Input data'!C76)</f>
        <v>50.474539513671857</v>
      </c>
      <c r="F30" s="83">
        <f>IF('Criteria results'!$F$5=4,L$11+'Input data'!D76,O$11+'Input data'!D76)</f>
        <v>48.116741575862932</v>
      </c>
      <c r="G30" s="83">
        <f>IF('Criteria results'!$F$5=4,M$11+'Input data'!E76,P$11+'Input data'!E76)</f>
        <v>45.508924792837334</v>
      </c>
      <c r="H30" s="83">
        <f>IF('Criteria results'!$F$5=4,N$11+'Input data'!F76,Q$11+'Input data'!F76)</f>
        <v>43.114539714671068</v>
      </c>
      <c r="I30" s="83">
        <f>IF('Criteria results'!$F$5=4,O$11+'Input data'!G76,R$11+'Input data'!G76)</f>
        <v>41.11089979626346</v>
      </c>
      <c r="J30" s="83"/>
      <c r="K30" s="83"/>
      <c r="L30" s="83"/>
      <c r="M30" s="83"/>
      <c r="N30" s="83"/>
      <c r="O30" s="83"/>
    </row>
    <row r="31" spans="2:18" x14ac:dyDescent="0.2">
      <c r="B31" s="5" t="s">
        <v>156</v>
      </c>
      <c r="C31" s="83">
        <f>IF('Criteria results'!$F$5=4,I$11,L$11)</f>
        <v>55.344336413083951</v>
      </c>
      <c r="D31" s="83">
        <f>IF('Criteria results'!$F$5=4,J$11,M$11)</f>
        <v>50.929639670376446</v>
      </c>
      <c r="E31" s="83">
        <f>IF('Criteria results'!$F$5=4,K$11+'Input data'!C77,N$11+'Input data'!C77)</f>
        <v>56.363478417480451</v>
      </c>
      <c r="F31" s="83">
        <f>IF('Criteria results'!$F$5=4,L$11+'Input data'!D77,O$11+'Input data'!D77)</f>
        <v>56.167099394466447</v>
      </c>
      <c r="G31" s="83">
        <f>IF('Criteria results'!$F$5=4,M$11+'Input data'!E77,P$11+'Input data'!E77)</f>
        <v>55.615392993520928</v>
      </c>
      <c r="H31" s="83">
        <f>IF('Criteria results'!$F$5=4,N$11+'Input data'!F77,Q$11+'Input data'!F77)</f>
        <v>54.745917888499193</v>
      </c>
      <c r="I31" s="83">
        <f>IF('Criteria results'!$F$5=4,O$11+'Input data'!G77,R$11+'Input data'!G77)</f>
        <v>53.82412229992557</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331"/>
    <col min="2" max="2" width="4.5703125" style="331" customWidth="1"/>
    <col min="3" max="3" width="67" style="331" customWidth="1"/>
    <col min="4" max="4" width="16.5703125" style="331" customWidth="1"/>
    <col min="5" max="5" width="13.7109375" style="331" customWidth="1"/>
    <col min="6" max="24" width="10.7109375" style="331" customWidth="1"/>
    <col min="25" max="16384" width="9.140625" style="331"/>
  </cols>
  <sheetData>
    <row r="1" spans="1:25" x14ac:dyDescent="0.2">
      <c r="A1" s="271"/>
      <c r="B1" s="271"/>
      <c r="C1" s="271"/>
      <c r="D1" s="271"/>
      <c r="E1" s="271"/>
      <c r="F1" s="271"/>
      <c r="G1" s="271"/>
      <c r="H1" s="271"/>
      <c r="I1" s="271"/>
      <c r="J1" s="271"/>
      <c r="K1" s="271"/>
      <c r="L1" s="271"/>
      <c r="M1" s="271"/>
      <c r="N1" s="271"/>
      <c r="O1" s="271"/>
      <c r="P1" s="271"/>
      <c r="Q1" s="271"/>
      <c r="R1" s="271"/>
      <c r="S1" s="271"/>
      <c r="T1" s="271"/>
      <c r="U1" s="271"/>
      <c r="V1" s="271"/>
      <c r="W1" s="271"/>
      <c r="X1" s="271"/>
      <c r="Y1" s="271"/>
    </row>
    <row r="2" spans="1:25" x14ac:dyDescent="0.2">
      <c r="A2" s="271"/>
      <c r="B2" s="336"/>
      <c r="C2" s="337" t="s">
        <v>218</v>
      </c>
      <c r="D2" s="338"/>
      <c r="E2" s="338"/>
      <c r="F2" s="338"/>
      <c r="G2" s="354"/>
      <c r="H2" s="354"/>
      <c r="I2" s="354"/>
      <c r="J2" s="354"/>
      <c r="K2" s="271"/>
      <c r="L2" s="271"/>
      <c r="M2" s="271"/>
      <c r="N2" s="271"/>
      <c r="O2" s="271"/>
      <c r="P2" s="271"/>
      <c r="Q2" s="271"/>
      <c r="R2" s="271"/>
      <c r="S2" s="271"/>
      <c r="T2" s="271"/>
      <c r="U2" s="271"/>
      <c r="V2" s="271"/>
      <c r="W2" s="271"/>
      <c r="X2" s="271"/>
      <c r="Y2" s="271"/>
    </row>
    <row r="3" spans="1:25" x14ac:dyDescent="0.2">
      <c r="A3" s="271"/>
      <c r="B3" s="333"/>
      <c r="C3" s="354"/>
      <c r="D3" s="354"/>
      <c r="E3" s="354"/>
      <c r="F3" s="354"/>
      <c r="G3" s="354"/>
      <c r="H3" s="354"/>
      <c r="I3" s="354"/>
      <c r="J3" s="354"/>
      <c r="K3" s="271"/>
      <c r="L3" s="271"/>
      <c r="M3" s="271"/>
      <c r="N3" s="271"/>
      <c r="O3" s="271"/>
      <c r="P3" s="271"/>
      <c r="Q3" s="271"/>
      <c r="R3" s="271"/>
      <c r="S3" s="271"/>
      <c r="T3" s="271"/>
      <c r="U3" s="271"/>
      <c r="V3" s="271"/>
      <c r="W3" s="271"/>
      <c r="X3" s="271"/>
      <c r="Y3" s="271"/>
    </row>
    <row r="4" spans="1:25" x14ac:dyDescent="0.2">
      <c r="A4" s="271"/>
      <c r="B4" s="339"/>
      <c r="C4" s="337"/>
      <c r="D4" s="340" t="s">
        <v>239</v>
      </c>
      <c r="E4" s="341">
        <f>F4-1</f>
        <v>2022</v>
      </c>
      <c r="F4" s="342">
        <f>'Input data'!$C$5-1</f>
        <v>2023</v>
      </c>
      <c r="G4" s="342">
        <f>F4+1</f>
        <v>2024</v>
      </c>
      <c r="H4" s="342">
        <f t="shared" ref="H4:X4" si="0">G4+1</f>
        <v>2025</v>
      </c>
      <c r="I4" s="342">
        <f t="shared" si="0"/>
        <v>2026</v>
      </c>
      <c r="J4" s="342">
        <f t="shared" si="0"/>
        <v>2027</v>
      </c>
      <c r="K4" s="342">
        <f t="shared" si="0"/>
        <v>2028</v>
      </c>
      <c r="L4" s="342">
        <f t="shared" si="0"/>
        <v>2029</v>
      </c>
      <c r="M4" s="342">
        <f t="shared" si="0"/>
        <v>2030</v>
      </c>
      <c r="N4" s="342">
        <f t="shared" si="0"/>
        <v>2031</v>
      </c>
      <c r="O4" s="342">
        <f t="shared" si="0"/>
        <v>2032</v>
      </c>
      <c r="P4" s="342">
        <f t="shared" si="0"/>
        <v>2033</v>
      </c>
      <c r="Q4" s="342">
        <f t="shared" si="0"/>
        <v>2034</v>
      </c>
      <c r="R4" s="342">
        <f t="shared" si="0"/>
        <v>2035</v>
      </c>
      <c r="S4" s="342">
        <f t="shared" si="0"/>
        <v>2036</v>
      </c>
      <c r="T4" s="342">
        <f t="shared" si="0"/>
        <v>2037</v>
      </c>
      <c r="U4" s="342">
        <f t="shared" si="0"/>
        <v>2038</v>
      </c>
      <c r="V4" s="342">
        <f t="shared" si="0"/>
        <v>2039</v>
      </c>
      <c r="W4" s="342">
        <f t="shared" si="0"/>
        <v>2040</v>
      </c>
      <c r="X4" s="342">
        <f t="shared" si="0"/>
        <v>2041</v>
      </c>
      <c r="Y4" s="271"/>
    </row>
    <row r="5" spans="1:25" x14ac:dyDescent="0.2">
      <c r="A5" s="271"/>
      <c r="B5" s="339">
        <v>1</v>
      </c>
      <c r="C5" s="343" t="s">
        <v>219</v>
      </c>
      <c r="D5" s="344">
        <v>57</v>
      </c>
      <c r="E5" s="345" t="s">
        <v>220</v>
      </c>
      <c r="F5" s="332">
        <f ca="1">INDEX(OFFSET('Adjustment scenario'!$D$1:$W$1,$D5-1,0),MATCH(F$4,'Adjustment scenario'!$D$10:$W$10,0))</f>
        <v>77.284440321959977</v>
      </c>
      <c r="G5" s="332">
        <f ca="1">INDEX(OFFSET('Adjustment scenario'!$D$1:$W$1,$D5-1,0),MATCH(G$4,'Adjustment scenario'!$D$10:$W$10,0))</f>
        <v>70.579945075187567</v>
      </c>
      <c r="H5" s="332">
        <f ca="1">INDEX(OFFSET('Adjustment scenario'!$D$1:$W$1,$D5-1,0),MATCH(H$4,'Adjustment scenario'!$D$10:$W$10,0))</f>
        <v>65.467738950078513</v>
      </c>
      <c r="I5" s="332">
        <f ca="1">INDEX(OFFSET('Adjustment scenario'!$D$1:$W$1,$D5-1,0),MATCH(I$4,'Adjustment scenario'!$D$10:$W$10,0))</f>
        <v>59.99104804318636</v>
      </c>
      <c r="J5" s="332">
        <f ca="1">INDEX(OFFSET('Adjustment scenario'!$D$1:$W$1,$D5-1,0),MATCH(J$4,'Adjustment scenario'!$D$10:$W$10,0))</f>
        <v>55.344336413083951</v>
      </c>
      <c r="K5" s="332">
        <f ca="1">INDEX(OFFSET('Adjustment scenario'!$D$1:$W$1,$D5-1,0),MATCH(K$4,'Adjustment scenario'!$D$10:$W$10,0))</f>
        <v>50.929639670376446</v>
      </c>
      <c r="L5" s="332">
        <f ca="1">INDEX(OFFSET('Adjustment scenario'!$D$1:$W$1,$D5-1,0),MATCH(L$4,'Adjustment scenario'!$D$10:$W$10,0))</f>
        <v>46.496687645996076</v>
      </c>
      <c r="M5" s="332">
        <f ca="1">INDEX(OFFSET('Adjustment scenario'!$D$1:$W$1,$D5-1,0),MATCH(M$4,'Adjustment scenario'!$D$10:$W$10,0))</f>
        <v>42.459373869564104</v>
      </c>
      <c r="N5" s="332">
        <f ca="1">INDEX(OFFSET('Adjustment scenario'!$D$1:$W$1,$D5-1,0),MATCH(N$4,'Adjustment scenario'!$D$10:$W$10,0))</f>
        <v>38.775312732290459</v>
      </c>
      <c r="O5" s="332">
        <f ca="1">INDEX(OFFSET('Adjustment scenario'!$D$1:$W$1,$D5-1,0),MATCH(O$4,'Adjustment scenario'!$D$10:$W$10,0))</f>
        <v>35.374126048899583</v>
      </c>
      <c r="P5" s="332">
        <f ca="1">INDEX(OFFSET('Adjustment scenario'!$D$1:$W$1,$D5-1,0),MATCH(P$4,'Adjustment scenario'!$D$10:$W$10,0))</f>
        <v>32.262514939085726</v>
      </c>
      <c r="Q5" s="332">
        <f ca="1">INDEX(OFFSET('Adjustment scenario'!$D$1:$W$1,$D5-1,0),MATCH(Q$4,'Adjustment scenario'!$D$10:$W$10,0))</f>
        <v>29.340409626930644</v>
      </c>
      <c r="R5" s="332">
        <f ca="1">INDEX(OFFSET('Adjustment scenario'!$D$1:$W$1,$D5-1,0),MATCH(R$4,'Adjustment scenario'!$D$10:$W$10,0))</f>
        <v>26.665659419907438</v>
      </c>
      <c r="S5" s="332">
        <f ca="1">INDEX(OFFSET('Adjustment scenario'!$D$1:$W$1,$D5-1,0),MATCH(S$4,'Adjustment scenario'!$D$10:$W$10,0))</f>
        <v>24.168336235214845</v>
      </c>
      <c r="T5" s="332">
        <f ca="1">INDEX(OFFSET('Adjustment scenario'!$D$1:$W$1,$D5-1,0),MATCH(T$4,'Adjustment scenario'!$D$10:$W$10,0))</f>
        <v>21.808684985207481</v>
      </c>
      <c r="U5" s="332">
        <f ca="1">INDEX(OFFSET('Adjustment scenario'!$D$1:$W$1,$D5-1,0),MATCH(U$4,'Adjustment scenario'!$D$10:$W$10,0))</f>
        <v>19.585857825183719</v>
      </c>
      <c r="V5" s="332">
        <f ca="1">INDEX(OFFSET('Adjustment scenario'!$D$1:$W$1,$D5-1,0),MATCH(V$4,'Adjustment scenario'!$D$10:$W$10,0))</f>
        <v>17.188179668616975</v>
      </c>
      <c r="W5" s="332">
        <f ca="1">INDEX(OFFSET('Adjustment scenario'!$D$1:$W$1,$D5-1,0),MATCH(W$4,'Adjustment scenario'!$D$10:$W$10,0))</f>
        <v>15.006288509813093</v>
      </c>
      <c r="X5" s="332">
        <f ca="1">INDEX(OFFSET('Adjustment scenario'!$D$1:$W$1,$D5-1,0),MATCH(X$4,'Adjustment scenario'!$D$10:$W$10,0))</f>
        <v>12.883662123244548</v>
      </c>
      <c r="Y5" s="271"/>
    </row>
    <row r="6" spans="1:25" x14ac:dyDescent="0.2">
      <c r="A6" s="271"/>
      <c r="B6" s="339">
        <v>2</v>
      </c>
      <c r="C6" s="343" t="s">
        <v>221</v>
      </c>
      <c r="D6" s="344">
        <v>77</v>
      </c>
      <c r="E6" s="345" t="s">
        <v>220</v>
      </c>
      <c r="F6" s="332">
        <f ca="1">INDEX(OFFSET('Adjustment scenario'!$D$1:$W$1,$D6-1,0),MATCH(F$4,'Adjustment scenario'!$D$10:$W$10,0))</f>
        <v>3.0821182519268051</v>
      </c>
      <c r="G6" s="332">
        <f ca="1">INDEX(OFFSET('Adjustment scenario'!$D$1:$W$1,$D6-1,0),MATCH(G$4,'Adjustment scenario'!$D$10:$W$10,0))</f>
        <v>2.914120271626587</v>
      </c>
      <c r="H6" s="332">
        <f ca="1">INDEX(OFFSET('Adjustment scenario'!$D$1:$W$1,$D6-1,0),MATCH(H$4,'Adjustment scenario'!$D$10:$W$10,0))</f>
        <v>2.759875514069952</v>
      </c>
      <c r="I6" s="332">
        <f ca="1">INDEX(OFFSET('Adjustment scenario'!$D$1:$W$1,$D6-1,0),MATCH(I$4,'Adjustment scenario'!$D$10:$W$10,0))</f>
        <v>2.5687667028825922</v>
      </c>
      <c r="J6" s="332">
        <f ca="1">INDEX(OFFSET('Adjustment scenario'!$D$1:$W$1,$D6-1,0),MATCH(J$4,'Adjustment scenario'!$D$10:$W$10,0))</f>
        <v>2.340634312468505</v>
      </c>
      <c r="K6" s="332">
        <f ca="1">INDEX(OFFSET('Adjustment scenario'!$D$1:$W$1,$D6-1,0),MATCH(K$4,'Adjustment scenario'!$D$10:$W$10,0))</f>
        <v>2.2458497084091391</v>
      </c>
      <c r="L6" s="332">
        <f ca="1">INDEX(OFFSET('Adjustment scenario'!$D$1:$W$1,$D6-1,0),MATCH(L$4,'Adjustment scenario'!$D$10:$W$10,0))</f>
        <v>2.3958251611618433</v>
      </c>
      <c r="M6" s="332">
        <f ca="1">INDEX(OFFSET('Adjustment scenario'!$D$1:$W$1,$D6-1,0),MATCH(M$4,'Adjustment scenario'!$D$10:$W$10,0))</f>
        <v>2.2057319633235886</v>
      </c>
      <c r="N6" s="332">
        <f ca="1">INDEX(OFFSET('Adjustment scenario'!$D$1:$W$1,$D6-1,0),MATCH(N$4,'Adjustment scenario'!$D$10:$W$10,0))</f>
        <v>2.0237025566206333</v>
      </c>
      <c r="O6" s="332">
        <f ca="1">INDEX(OFFSET('Adjustment scenario'!$D$1:$W$1,$D6-1,0),MATCH(O$4,'Adjustment scenario'!$D$10:$W$10,0))</f>
        <v>1.886280849713714</v>
      </c>
      <c r="P6" s="332">
        <f ca="1">INDEX(OFFSET('Adjustment scenario'!$D$1:$W$1,$D6-1,0),MATCH(P$4,'Adjustment scenario'!$D$10:$W$10,0))</f>
        <v>1.7314563838425729</v>
      </c>
      <c r="Q6" s="332">
        <f ca="1">INDEX(OFFSET('Adjustment scenario'!$D$1:$W$1,$D6-1,0),MATCH(Q$4,'Adjustment scenario'!$D$10:$W$10,0))</f>
        <v>1.6519796375225577</v>
      </c>
      <c r="R6" s="332">
        <f ca="1">INDEX(OFFSET('Adjustment scenario'!$D$1:$W$1,$D6-1,0),MATCH(R$4,'Adjustment scenario'!$D$10:$W$10,0))</f>
        <v>1.5093361431580825</v>
      </c>
      <c r="S6" s="332">
        <f ca="1">INDEX(OFFSET('Adjustment scenario'!$D$1:$W$1,$D6-1,0),MATCH(S$4,'Adjustment scenario'!$D$10:$W$10,0))</f>
        <v>1.4287812372137254</v>
      </c>
      <c r="T6" s="332">
        <f ca="1">INDEX(OFFSET('Adjustment scenario'!$D$1:$W$1,$D6-1,0),MATCH(T$4,'Adjustment scenario'!$D$10:$W$10,0))</f>
        <v>1.3775879448006005</v>
      </c>
      <c r="U6" s="332">
        <f ca="1">INDEX(OFFSET('Adjustment scenario'!$D$1:$W$1,$D6-1,0),MATCH(U$4,'Adjustment scenario'!$D$10:$W$10,0))</f>
        <v>1.3311288085400974</v>
      </c>
      <c r="V6" s="332">
        <f ca="1">INDEX(OFFSET('Adjustment scenario'!$D$1:$W$1,$D6-1,0),MATCH(V$4,'Adjustment scenario'!$D$10:$W$10,0))</f>
        <v>1.5898209946424857</v>
      </c>
      <c r="W6" s="332">
        <f ca="1">INDEX(OFFSET('Adjustment scenario'!$D$1:$W$1,$D6-1,0),MATCH(W$4,'Adjustment scenario'!$D$10:$W$10,0))</f>
        <v>1.4660689075720015</v>
      </c>
      <c r="X6" s="332">
        <f ca="1">INDEX(OFFSET('Adjustment scenario'!$D$1:$W$1,$D6-1,0),MATCH(X$4,'Adjustment scenario'!$D$10:$W$10,0))</f>
        <v>1.5061667723950662</v>
      </c>
      <c r="Y6" s="271"/>
    </row>
    <row r="7" spans="1:25" x14ac:dyDescent="0.2">
      <c r="A7" s="271"/>
      <c r="B7" s="339">
        <v>3</v>
      </c>
      <c r="C7" s="343" t="s">
        <v>40</v>
      </c>
      <c r="D7" s="344">
        <v>12</v>
      </c>
      <c r="E7" s="345" t="s">
        <v>222</v>
      </c>
      <c r="F7" s="332">
        <f ca="1">INDEX(OFFSET('Adjustment scenario'!$D$1:$W$1,$D7-1,0),MATCH(F$4,'Adjustment scenario'!$D$10:$W$10,0))</f>
        <v>3.2270470000000002</v>
      </c>
      <c r="G7" s="332">
        <f ca="1">INDEX(OFFSET('Adjustment scenario'!$D$1:$W$1,$D7-1,0),MATCH(G$4,'Adjustment scenario'!$D$10:$W$10,0))</f>
        <v>3.482405</v>
      </c>
      <c r="H7" s="332">
        <f ca="1">INDEX(OFFSET('Adjustment scenario'!$D$1:$W$1,$D7-1,0),MATCH(H$4,'Adjustment scenario'!$D$10:$W$10,0))</f>
        <v>3.482405</v>
      </c>
      <c r="I7" s="332">
        <f ca="1">INDEX(OFFSET('Adjustment scenario'!$D$1:$W$1,$D7-1,0),MATCH(I$4,'Adjustment scenario'!$D$10:$W$10,0))</f>
        <v>3.482405</v>
      </c>
      <c r="J7" s="332">
        <f ca="1">INDEX(OFFSET('Adjustment scenario'!$D$1:$W$1,$D7-1,0),MATCH(J$4,'Adjustment scenario'!$D$10:$W$10,0))</f>
        <v>3.482405</v>
      </c>
      <c r="K7" s="332">
        <f ca="1">INDEX(OFFSET('Adjustment scenario'!$D$1:$W$1,$D7-1,0),MATCH(K$4,'Adjustment scenario'!$D$10:$W$10,0))</f>
        <v>3.482405</v>
      </c>
      <c r="L7" s="332">
        <f ca="1">INDEX(OFFSET('Adjustment scenario'!$D$1:$W$1,$D7-1,0),MATCH(L$4,'Adjustment scenario'!$D$10:$W$10,0))</f>
        <v>3.482405</v>
      </c>
      <c r="M7" s="332">
        <f ca="1">INDEX(OFFSET('Adjustment scenario'!$D$1:$W$1,$D7-1,0),MATCH(M$4,'Adjustment scenario'!$D$10:$W$10,0))</f>
        <v>3.482405</v>
      </c>
      <c r="N7" s="332">
        <f ca="1">INDEX(OFFSET('Adjustment scenario'!$D$1:$W$1,$D7-1,0),MATCH(N$4,'Adjustment scenario'!$D$10:$W$10,0))</f>
        <v>3.482405</v>
      </c>
      <c r="O7" s="332">
        <f ca="1">INDEX(OFFSET('Adjustment scenario'!$D$1:$W$1,$D7-1,0),MATCH(O$4,'Adjustment scenario'!$D$10:$W$10,0))</f>
        <v>3.482405</v>
      </c>
      <c r="P7" s="332">
        <f ca="1">INDEX(OFFSET('Adjustment scenario'!$D$1:$W$1,$D7-1,0),MATCH(P$4,'Adjustment scenario'!$D$10:$W$10,0))</f>
        <v>3.482405</v>
      </c>
      <c r="Q7" s="332">
        <f ca="1">INDEX(OFFSET('Adjustment scenario'!$D$1:$W$1,$D7-1,0),MATCH(Q$4,'Adjustment scenario'!$D$10:$W$10,0))</f>
        <v>3.482405</v>
      </c>
      <c r="R7" s="332">
        <f ca="1">INDEX(OFFSET('Adjustment scenario'!$D$1:$W$1,$D7-1,0),MATCH(R$4,'Adjustment scenario'!$D$10:$W$10,0))</f>
        <v>3.482405</v>
      </c>
      <c r="S7" s="332">
        <f ca="1">INDEX(OFFSET('Adjustment scenario'!$D$1:$W$1,$D7-1,0),MATCH(S$4,'Adjustment scenario'!$D$10:$W$10,0))</f>
        <v>3.482405</v>
      </c>
      <c r="T7" s="332">
        <f ca="1">INDEX(OFFSET('Adjustment scenario'!$D$1:$W$1,$D7-1,0),MATCH(T$4,'Adjustment scenario'!$D$10:$W$10,0))</f>
        <v>3.482405</v>
      </c>
      <c r="U7" s="332">
        <f ca="1">INDEX(OFFSET('Adjustment scenario'!$D$1:$W$1,$D7-1,0),MATCH(U$4,'Adjustment scenario'!$D$10:$W$10,0))</f>
        <v>3.482405</v>
      </c>
      <c r="V7" s="332">
        <f ca="1">INDEX(OFFSET('Adjustment scenario'!$D$1:$W$1,$D7-1,0),MATCH(V$4,'Adjustment scenario'!$D$10:$W$10,0))</f>
        <v>3.482405</v>
      </c>
      <c r="W7" s="332">
        <f ca="1">INDEX(OFFSET('Adjustment scenario'!$D$1:$W$1,$D7-1,0),MATCH(W$4,'Adjustment scenario'!$D$10:$W$10,0))</f>
        <v>3.482405</v>
      </c>
      <c r="X7" s="332">
        <f ca="1">INDEX(OFFSET('Adjustment scenario'!$D$1:$W$1,$D7-1,0),MATCH(X$4,'Adjustment scenario'!$D$10:$W$10,0))</f>
        <v>3.482405</v>
      </c>
      <c r="Y7" s="271"/>
    </row>
    <row r="8" spans="1:25" x14ac:dyDescent="0.2">
      <c r="A8" s="271"/>
      <c r="B8" s="339">
        <v>4</v>
      </c>
      <c r="C8" s="343" t="s">
        <v>223</v>
      </c>
      <c r="D8" s="344">
        <v>62</v>
      </c>
      <c r="E8" s="345" t="s">
        <v>222</v>
      </c>
      <c r="F8" s="332">
        <f ca="1">INDEX(OFFSET('Adjustment scenario'!$D$1:$W$1,$D8-1,0),MATCH(F$4,'Adjustment scenario'!$D$10:$W$10,0))</f>
        <v>-1.2970045229268887</v>
      </c>
      <c r="G8" s="332">
        <f ca="1">INDEX(OFFSET('Adjustment scenario'!$D$1:$W$1,$D8-1,0),MATCH(G$4,'Adjustment scenario'!$D$10:$W$10,0))</f>
        <v>-0.81486474677240894</v>
      </c>
      <c r="H8" s="332">
        <f ca="1">INDEX(OFFSET('Adjustment scenario'!$D$1:$W$1,$D8-1,0),MATCH(H$4,'Adjustment scenario'!$D$10:$W$10,0))</f>
        <v>-0.55424912510905266</v>
      </c>
      <c r="I8" s="332">
        <f ca="1">INDEX(OFFSET('Adjustment scenario'!$D$1:$W$1,$D8-1,0),MATCH(I$4,'Adjustment scenario'!$D$10:$W$10,0))</f>
        <v>-0.36949966720595828</v>
      </c>
      <c r="J8" s="332">
        <f ca="1">INDEX(OFFSET('Adjustment scenario'!$D$1:$W$1,$D8-1,0),MATCH(J$4,'Adjustment scenario'!$D$10:$W$10,0))</f>
        <v>-0.12316252384283022</v>
      </c>
      <c r="K8" s="332">
        <f ca="1">INDEX(OFFSET('Adjustment scenario'!$D$1:$W$1,$D8-1,0),MATCH(K$4,'Adjustment scenario'!$D$10:$W$10,0))</f>
        <v>5.2474511583966429E-6</v>
      </c>
      <c r="L8" s="332">
        <f ca="1">INDEX(OFFSET('Adjustment scenario'!$D$1:$W$1,$D8-1,0),MATCH(L$4,'Adjustment scenario'!$D$10:$W$10,0))</f>
        <v>5.2474511639921671E-6</v>
      </c>
      <c r="M8" s="332">
        <f ca="1">INDEX(OFFSET('Adjustment scenario'!$D$1:$W$1,$D8-1,0),MATCH(M$4,'Adjustment scenario'!$D$10:$W$10,0))</f>
        <v>4.2551015543068619E-6</v>
      </c>
      <c r="N8" s="332">
        <f ca="1">INDEX(OFFSET('Adjustment scenario'!$D$1:$W$1,$D8-1,0),MATCH(N$4,'Adjustment scenario'!$D$10:$W$10,0))</f>
        <v>4.2551015543068619E-6</v>
      </c>
      <c r="O8" s="332">
        <f ca="1">INDEX(OFFSET('Adjustment scenario'!$D$1:$W$1,$D8-1,0),MATCH(O$4,'Adjustment scenario'!$D$10:$W$10,0))</f>
        <v>5.2482081264848544E-6</v>
      </c>
      <c r="P8" s="332">
        <f ca="1">INDEX(OFFSET('Adjustment scenario'!$D$1:$W$1,$D8-1,0),MATCH(P$4,'Adjustment scenario'!$D$10:$W$10,0))</f>
        <v>4.2548351458115976E-6</v>
      </c>
      <c r="Q8" s="332">
        <f ca="1">INDEX(OFFSET('Adjustment scenario'!$D$1:$W$1,$D8-1,0),MATCH(Q$4,'Adjustment scenario'!$D$10:$W$10,0))</f>
        <v>5.2475774102056507E-6</v>
      </c>
      <c r="R8" s="332">
        <f ca="1">INDEX(OFFSET('Adjustment scenario'!$D$1:$W$1,$D8-1,0),MATCH(R$4,'Adjustment scenario'!$D$10:$W$10,0))</f>
        <v>6.7357458626737811E-6</v>
      </c>
      <c r="S8" s="332">
        <f ca="1">INDEX(OFFSET('Adjustment scenario'!$D$1:$W$1,$D8-1,0),MATCH(S$4,'Adjustment scenario'!$D$10:$W$10,0))</f>
        <v>8.2229705796521561E-6</v>
      </c>
      <c r="T8" s="332">
        <f ca="1">INDEX(OFFSET('Adjustment scenario'!$D$1:$W$1,$D8-1,0),MATCH(T$4,'Adjustment scenario'!$D$10:$W$10,0))</f>
        <v>9.7089249336157473E-6</v>
      </c>
      <c r="U8" s="332">
        <f ca="1">INDEX(OFFSET('Adjustment scenario'!$D$1:$W$1,$D8-1,0),MATCH(U$4,'Adjustment scenario'!$D$10:$W$10,0))</f>
        <v>9.2138703666755362E-6</v>
      </c>
      <c r="V8" s="332">
        <f ca="1">INDEX(OFFSET('Adjustment scenario'!$D$1:$W$1,$D8-1,0),MATCH(V$4,'Adjustment scenario'!$D$10:$W$10,0))</f>
        <v>7.234926149379817E-6</v>
      </c>
      <c r="W8" s="332">
        <f ca="1">INDEX(OFFSET('Adjustment scenario'!$D$1:$W$1,$D8-1,0),MATCH(W$4,'Adjustment scenario'!$D$10:$W$10,0))</f>
        <v>7.234926149379817E-6</v>
      </c>
      <c r="X8" s="332">
        <f ca="1">INDEX(OFFSET('Adjustment scenario'!$D$1:$W$1,$D8-1,0),MATCH(X$4,'Adjustment scenario'!$D$10:$W$10,0))</f>
        <v>7.7294824908591405E-6</v>
      </c>
      <c r="Y8" s="271"/>
    </row>
    <row r="9" spans="1:25" x14ac:dyDescent="0.2">
      <c r="A9" s="271"/>
      <c r="B9" s="339">
        <v>5</v>
      </c>
      <c r="C9" s="343" t="s">
        <v>224</v>
      </c>
      <c r="D9" s="344">
        <v>14</v>
      </c>
      <c r="E9" s="345" t="s">
        <v>220</v>
      </c>
      <c r="F9" s="332">
        <f ca="1">INDEX(OFFSET('Adjustment scenario'!$D$1:$W$1,$D9-1,0),MATCH(F$4,'Adjustment scenario'!$D$10:$W$10,0))</f>
        <v>0</v>
      </c>
      <c r="G9" s="332">
        <f ca="1">INDEX(OFFSET('Adjustment scenario'!$D$1:$W$1,$D9-1,0),MATCH(G$4,'Adjustment scenario'!$D$10:$W$10,0))</f>
        <v>0</v>
      </c>
      <c r="H9" s="332">
        <f ca="1">INDEX(OFFSET('Adjustment scenario'!$D$1:$W$1,$D9-1,0),MATCH(H$4,'Adjustment scenario'!$D$10:$W$10,0))</f>
        <v>0</v>
      </c>
      <c r="I9" s="332">
        <f ca="1">INDEX(OFFSET('Adjustment scenario'!$D$1:$W$1,$D9-1,0),MATCH(I$4,'Adjustment scenario'!$D$10:$W$10,0))</f>
        <v>0</v>
      </c>
      <c r="J9" s="332">
        <f ca="1">INDEX(OFFSET('Adjustment scenario'!$D$1:$W$1,$D9-1,0),MATCH(J$4,'Adjustment scenario'!$D$10:$W$10,0))</f>
        <v>0</v>
      </c>
      <c r="K9" s="332">
        <f ca="1">INDEX(OFFSET('Adjustment scenario'!$D$1:$W$1,$D9-1,0),MATCH(K$4,'Adjustment scenario'!$D$10:$W$10,0))</f>
        <v>0</v>
      </c>
      <c r="L9" s="332">
        <f ca="1">INDEX(OFFSET('Adjustment scenario'!$D$1:$W$1,$D9-1,0),MATCH(L$4,'Adjustment scenario'!$D$10:$W$10,0))</f>
        <v>0</v>
      </c>
      <c r="M9" s="332">
        <f ca="1">INDEX(OFFSET('Adjustment scenario'!$D$1:$W$1,$D9-1,0),MATCH(M$4,'Adjustment scenario'!$D$10:$W$10,0))</f>
        <v>0</v>
      </c>
      <c r="N9" s="332">
        <f ca="1">INDEX(OFFSET('Adjustment scenario'!$D$1:$W$1,$D9-1,0),MATCH(N$4,'Adjustment scenario'!$D$10:$W$10,0))</f>
        <v>0</v>
      </c>
      <c r="O9" s="332">
        <f ca="1">INDEX(OFFSET('Adjustment scenario'!$D$1:$W$1,$D9-1,0),MATCH(O$4,'Adjustment scenario'!$D$10:$W$10,0))</f>
        <v>0</v>
      </c>
      <c r="P9" s="332">
        <f ca="1">INDEX(OFFSET('Adjustment scenario'!$D$1:$W$1,$D9-1,0),MATCH(P$4,'Adjustment scenario'!$D$10:$W$10,0))</f>
        <v>0</v>
      </c>
      <c r="Q9" s="332">
        <f ca="1">INDEX(OFFSET('Adjustment scenario'!$D$1:$W$1,$D9-1,0),MATCH(Q$4,'Adjustment scenario'!$D$10:$W$10,0))</f>
        <v>0</v>
      </c>
      <c r="R9" s="332">
        <f ca="1">INDEX(OFFSET('Adjustment scenario'!$D$1:$W$1,$D9-1,0),MATCH(R$4,'Adjustment scenario'!$D$10:$W$10,0))</f>
        <v>0</v>
      </c>
      <c r="S9" s="332">
        <f ca="1">INDEX(OFFSET('Adjustment scenario'!$D$1:$W$1,$D9-1,0),MATCH(S$4,'Adjustment scenario'!$D$10:$W$10,0))</f>
        <v>0</v>
      </c>
      <c r="T9" s="332">
        <f ca="1">INDEX(OFFSET('Adjustment scenario'!$D$1:$W$1,$D9-1,0),MATCH(T$4,'Adjustment scenario'!$D$10:$W$10,0))</f>
        <v>0</v>
      </c>
      <c r="U9" s="332">
        <f ca="1">INDEX(OFFSET('Adjustment scenario'!$D$1:$W$1,$D9-1,0),MATCH(U$4,'Adjustment scenario'!$D$10:$W$10,0))</f>
        <v>0</v>
      </c>
      <c r="V9" s="332">
        <f ca="1">INDEX(OFFSET('Adjustment scenario'!$D$1:$W$1,$D9-1,0),MATCH(V$4,'Adjustment scenario'!$D$10:$W$10,0))</f>
        <v>0</v>
      </c>
      <c r="W9" s="332">
        <f ca="1">INDEX(OFFSET('Adjustment scenario'!$D$1:$W$1,$D9-1,0),MATCH(W$4,'Adjustment scenario'!$D$10:$W$10,0))</f>
        <v>0</v>
      </c>
      <c r="X9" s="332">
        <f ca="1">INDEX(OFFSET('Adjustment scenario'!$D$1:$W$1,$D9-1,0),MATCH(X$4,'Adjustment scenario'!$D$10:$W$10,0))</f>
        <v>0</v>
      </c>
      <c r="Y9" s="271"/>
    </row>
    <row r="10" spans="1:25" x14ac:dyDescent="0.2">
      <c r="A10" s="271"/>
      <c r="B10" s="339">
        <v>6</v>
      </c>
      <c r="C10" s="343" t="s">
        <v>225</v>
      </c>
      <c r="D10" s="344">
        <v>68</v>
      </c>
      <c r="E10" s="345" t="s">
        <v>220</v>
      </c>
      <c r="F10" s="332">
        <f ca="1">INDEX(OFFSET('Adjustment scenario'!$D$1:$W$1,$D10-1,0),MATCH(F$4,'Adjustment scenario'!$D$10:$W$10,0))</f>
        <v>1.4419332710000843</v>
      </c>
      <c r="G10" s="332">
        <f ca="1">INDEX(OFFSET('Adjustment scenario'!$D$1:$W$1,$D10-1,0),MATCH(G$4,'Adjustment scenario'!$D$10:$W$10,0))</f>
        <v>1.3831494751458222</v>
      </c>
      <c r="H10" s="332">
        <f ca="1">INDEX(OFFSET('Adjustment scenario'!$D$1:$W$1,$D10-1,0),MATCH(H$4,'Adjustment scenario'!$D$10:$W$10,0))</f>
        <v>1.2767786110391002</v>
      </c>
      <c r="I10" s="332">
        <f ca="1">INDEX(OFFSET('Adjustment scenario'!$D$1:$W$1,$D10-1,0),MATCH(I$4,'Adjustment scenario'!$D$10:$W$10,0))</f>
        <v>1.2831379643233658</v>
      </c>
      <c r="J10" s="332">
        <f ca="1">INDEX(OFFSET('Adjustment scenario'!$D$1:$W$1,$D10-1,0),MATCH(J$4,'Adjustment scenario'!$D$10:$W$10,0))</f>
        <v>1.2649332113743252</v>
      </c>
      <c r="K10" s="332">
        <f ca="1">INDEX(OFFSET('Adjustment scenario'!$D$1:$W$1,$D10-1,0),MATCH(K$4,'Adjustment scenario'!$D$10:$W$10,0))</f>
        <v>1.2365500441397026</v>
      </c>
      <c r="L10" s="332">
        <f ca="1">INDEX(OFFSET('Adjustment scenario'!$D$1:$W$1,$D10-1,0),MATCH(L$4,'Adjustment scenario'!$D$10:$W$10,0))</f>
        <v>1.2011368913869918</v>
      </c>
      <c r="M10" s="332">
        <f ca="1">INDEX(OFFSET('Adjustment scenario'!$D$1:$W$1,$D10-1,0),MATCH(M$4,'Adjustment scenario'!$D$10:$W$10,0))</f>
        <v>1.1477033815748543</v>
      </c>
      <c r="N10" s="332">
        <f ca="1">INDEX(OFFSET('Adjustment scenario'!$D$1:$W$1,$D10-1,0),MATCH(N$4,'Adjustment scenario'!$D$10:$W$10,0))</f>
        <v>1.0856651882778106</v>
      </c>
      <c r="O10" s="332">
        <f ca="1">INDEX(OFFSET('Adjustment scenario'!$D$1:$W$1,$D10-1,0),MATCH(O$4,'Adjustment scenario'!$D$10:$W$10,0))</f>
        <v>1.0261782020781569</v>
      </c>
      <c r="P10" s="332">
        <f ca="1">INDEX(OFFSET('Adjustment scenario'!$D$1:$W$1,$D10-1,0),MATCH(P$4,'Adjustment scenario'!$D$10:$W$10,0))</f>
        <v>0.94472596132227915</v>
      </c>
      <c r="Q10" s="332">
        <f ca="1">INDEX(OFFSET('Adjustment scenario'!$D$1:$W$1,$D10-1,0),MATCH(Q$4,'Adjustment scenario'!$D$10:$W$10,0))</f>
        <v>0.86757401490002517</v>
      </c>
      <c r="R10" s="332">
        <f ca="1">INDEX(OFFSET('Adjustment scenario'!$D$1:$W$1,$D10-1,0),MATCH(R$4,'Adjustment scenario'!$D$10:$W$10,0))</f>
        <v>0.793378321096048</v>
      </c>
      <c r="S10" s="332">
        <f ca="1">INDEX(OFFSET('Adjustment scenario'!$D$1:$W$1,$D10-1,0),MATCH(S$4,'Adjustment scenario'!$D$10:$W$10,0))</f>
        <v>0.72492403981568965</v>
      </c>
      <c r="T10" s="332">
        <f ca="1">INDEX(OFFSET('Adjustment scenario'!$D$1:$W$1,$D10-1,0),MATCH(T$4,'Adjustment scenario'!$D$10:$W$10,0))</f>
        <v>0.65968824627445688</v>
      </c>
      <c r="U10" s="332">
        <f ca="1">INDEX(OFFSET('Adjustment scenario'!$D$1:$W$1,$D10-1,0),MATCH(U$4,'Adjustment scenario'!$D$10:$W$10,0))</f>
        <v>0.59739017758953605</v>
      </c>
      <c r="V10" s="332">
        <f ca="1">INDEX(OFFSET('Adjustment scenario'!$D$1:$W$1,$D10-1,0),MATCH(V$4,'Adjustment scenario'!$D$10:$W$10,0))</f>
        <v>0.5369222704313622</v>
      </c>
      <c r="W10" s="332">
        <f ca="1">INDEX(OFFSET('Adjustment scenario'!$D$1:$W$1,$D10-1,0),MATCH(W$4,'Adjustment scenario'!$D$10:$W$10,0))</f>
        <v>0.47099665750184189</v>
      </c>
      <c r="X10" s="332">
        <f ca="1">INDEX(OFFSET('Adjustment scenario'!$D$1:$W$1,$D10-1,0),MATCH(X$4,'Adjustment scenario'!$D$10:$W$10,0))</f>
        <v>0.41145059812243812</v>
      </c>
      <c r="Y10" s="271"/>
    </row>
    <row r="11" spans="1:25" x14ac:dyDescent="0.2">
      <c r="A11" s="271"/>
      <c r="B11" s="339">
        <v>7</v>
      </c>
      <c r="C11" s="346" t="s">
        <v>94</v>
      </c>
      <c r="D11" s="344">
        <v>37</v>
      </c>
      <c r="E11" s="345" t="s">
        <v>226</v>
      </c>
      <c r="F11" s="332">
        <f ca="1">INDEX(OFFSET('Adjustment scenario'!$D$1:$W$1,$D11-1,0),MATCH(F$4,'Adjustment scenario'!$D$10:$W$10,0))</f>
        <v>3.91</v>
      </c>
      <c r="G11" s="332">
        <f ca="1">INDEX(OFFSET('Adjustment scenario'!$D$1:$W$1,$D11-1,0),MATCH(G$4,'Adjustment scenario'!$D$10:$W$10,0))</f>
        <v>3.3161689999999999</v>
      </c>
      <c r="H11" s="332">
        <f ca="1">INDEX(OFFSET('Adjustment scenario'!$D$1:$W$1,$D11-1,0),MATCH(H$4,'Adjustment scenario'!$D$10:$W$10,0))</f>
        <v>3.3153579999999998</v>
      </c>
      <c r="I11" s="332">
        <f ca="1">INDEX(OFFSET('Adjustment scenario'!$D$1:$W$1,$D11-1,0),MATCH(I$4,'Adjustment scenario'!$D$10:$W$10,0))</f>
        <v>3.381707</v>
      </c>
      <c r="J11" s="332">
        <f ca="1">INDEX(OFFSET('Adjustment scenario'!$D$1:$W$1,$D11-1,0),MATCH(J$4,'Adjustment scenario'!$D$10:$W$10,0))</f>
        <v>3.4480560000000002</v>
      </c>
      <c r="K11" s="332">
        <f ca="1">INDEX(OFFSET('Adjustment scenario'!$D$1:$W$1,$D11-1,0),MATCH(K$4,'Adjustment scenario'!$D$10:$W$10,0))</f>
        <v>3.5144050000000004</v>
      </c>
      <c r="L11" s="332">
        <f ca="1">INDEX(OFFSET('Adjustment scenario'!$D$1:$W$1,$D11-1,0),MATCH(L$4,'Adjustment scenario'!$D$10:$W$10,0))</f>
        <v>3.5807540000000007</v>
      </c>
      <c r="M11" s="332">
        <f ca="1">INDEX(OFFSET('Adjustment scenario'!$D$1:$W$1,$D11-1,0),MATCH(M$4,'Adjustment scenario'!$D$10:$W$10,0))</f>
        <v>3.6471030000000009</v>
      </c>
      <c r="N11" s="332">
        <f ca="1">INDEX(OFFSET('Adjustment scenario'!$D$1:$W$1,$D11-1,0),MATCH(N$4,'Adjustment scenario'!$D$10:$W$10,0))</f>
        <v>3.7134520000000011</v>
      </c>
      <c r="O11" s="332">
        <f ca="1">INDEX(OFFSET('Adjustment scenario'!$D$1:$W$1,$D11-1,0),MATCH(O$4,'Adjustment scenario'!$D$10:$W$10,0))</f>
        <v>3.7798010000000013</v>
      </c>
      <c r="P11" s="332">
        <f ca="1">INDEX(OFFSET('Adjustment scenario'!$D$1:$W$1,$D11-1,0),MATCH(P$4,'Adjustment scenario'!$D$10:$W$10,0))</f>
        <v>3.8461500000000002</v>
      </c>
      <c r="Q11" s="332">
        <f ca="1">INDEX(OFFSET('Adjustment scenario'!$D$1:$W$1,$D11-1,0),MATCH(Q$4,'Adjustment scenario'!$D$10:$W$10,0))</f>
        <v>3.8538425000000003</v>
      </c>
      <c r="R11" s="332">
        <f ca="1">INDEX(OFFSET('Adjustment scenario'!$D$1:$W$1,$D11-1,0),MATCH(R$4,'Adjustment scenario'!$D$10:$W$10,0))</f>
        <v>3.8615349999999999</v>
      </c>
      <c r="S11" s="332">
        <f ca="1">INDEX(OFFSET('Adjustment scenario'!$D$1:$W$1,$D11-1,0),MATCH(S$4,'Adjustment scenario'!$D$10:$W$10,0))</f>
        <v>3.8692275</v>
      </c>
      <c r="T11" s="332">
        <f ca="1">INDEX(OFFSET('Adjustment scenario'!$D$1:$W$1,$D11-1,0),MATCH(T$4,'Adjustment scenario'!$D$10:$W$10,0))</f>
        <v>3.8769200000000001</v>
      </c>
      <c r="U11" s="332">
        <f ca="1">INDEX(OFFSET('Adjustment scenario'!$D$1:$W$1,$D11-1,0),MATCH(U$4,'Adjustment scenario'!$D$10:$W$10,0))</f>
        <v>3.8846125000000002</v>
      </c>
      <c r="V11" s="332">
        <f ca="1">INDEX(OFFSET('Adjustment scenario'!$D$1:$W$1,$D11-1,0),MATCH(V$4,'Adjustment scenario'!$D$10:$W$10,0))</f>
        <v>3.8923050000000003</v>
      </c>
      <c r="W11" s="332">
        <f ca="1">INDEX(OFFSET('Adjustment scenario'!$D$1:$W$1,$D11-1,0),MATCH(W$4,'Adjustment scenario'!$D$10:$W$10,0))</f>
        <v>3.8999975</v>
      </c>
      <c r="X11" s="332">
        <f ca="1">INDEX(OFFSET('Adjustment scenario'!$D$1:$W$1,$D11-1,0),MATCH(X$4,'Adjustment scenario'!$D$10:$W$10,0))</f>
        <v>3.9076900000000001</v>
      </c>
      <c r="Y11" s="271"/>
    </row>
    <row r="12" spans="1:25" x14ac:dyDescent="0.2">
      <c r="A12" s="271"/>
      <c r="B12" s="339">
        <v>8</v>
      </c>
      <c r="C12" s="346" t="s">
        <v>95</v>
      </c>
      <c r="D12" s="344">
        <v>38</v>
      </c>
      <c r="E12" s="345" t="s">
        <v>226</v>
      </c>
      <c r="F12" s="332">
        <f ca="1">INDEX(OFFSET('Adjustment scenario'!$D$1:$W$1,$D12-1,0),MATCH(F$4,'Adjustment scenario'!$D$10:$W$10,0))</f>
        <v>3.43</v>
      </c>
      <c r="G12" s="332">
        <f ca="1">INDEX(OFFSET('Adjustment scenario'!$D$1:$W$1,$D12-1,0),MATCH(G$4,'Adjustment scenario'!$D$10:$W$10,0))</f>
        <v>3.5642079999999998</v>
      </c>
      <c r="H12" s="332">
        <f ca="1">INDEX(OFFSET('Adjustment scenario'!$D$1:$W$1,$D12-1,0),MATCH(H$4,'Adjustment scenario'!$D$10:$W$10,0))</f>
        <v>2.8163749999999999</v>
      </c>
      <c r="I12" s="332">
        <f ca="1">INDEX(OFFSET('Adjustment scenario'!$D$1:$W$1,$D12-1,0),MATCH(I$4,'Adjustment scenario'!$D$10:$W$10,0))</f>
        <v>2.8050893749999997</v>
      </c>
      <c r="J12" s="332">
        <f ca="1">INDEX(OFFSET('Adjustment scenario'!$D$1:$W$1,$D12-1,0),MATCH(J$4,'Adjustment scenario'!$D$10:$W$10,0))</f>
        <v>2.7938037499999995</v>
      </c>
      <c r="K12" s="332">
        <f ca="1">INDEX(OFFSET('Adjustment scenario'!$D$1:$W$1,$D12-1,0),MATCH(K$4,'Adjustment scenario'!$D$10:$W$10,0))</f>
        <v>2.7825181249999993</v>
      </c>
      <c r="L12" s="332">
        <f ca="1">INDEX(OFFSET('Adjustment scenario'!$D$1:$W$1,$D12-1,0),MATCH(L$4,'Adjustment scenario'!$D$10:$W$10,0))</f>
        <v>2.7712324999999991</v>
      </c>
      <c r="M12" s="332">
        <f ca="1">INDEX(OFFSET('Adjustment scenario'!$D$1:$W$1,$D12-1,0),MATCH(M$4,'Adjustment scenario'!$D$10:$W$10,0))</f>
        <v>2.7599468749999989</v>
      </c>
      <c r="N12" s="332">
        <f ca="1">INDEX(OFFSET('Adjustment scenario'!$D$1:$W$1,$D12-1,0),MATCH(N$4,'Adjustment scenario'!$D$10:$W$10,0))</f>
        <v>2.7486612499999987</v>
      </c>
      <c r="O12" s="332">
        <f ca="1">INDEX(OFFSET('Adjustment scenario'!$D$1:$W$1,$D12-1,0),MATCH(O$4,'Adjustment scenario'!$D$10:$W$10,0))</f>
        <v>2.7373756249999985</v>
      </c>
      <c r="P12" s="332">
        <f ca="1">INDEX(OFFSET('Adjustment scenario'!$D$1:$W$1,$D12-1,0),MATCH(P$4,'Adjustment scenario'!$D$10:$W$10,0))</f>
        <v>2.7260900000000001</v>
      </c>
      <c r="Q12" s="332">
        <f ca="1">INDEX(OFFSET('Adjustment scenario'!$D$1:$W$1,$D12-1,0),MATCH(Q$4,'Adjustment scenario'!$D$10:$W$10,0))</f>
        <v>2.6897855000000002</v>
      </c>
      <c r="R12" s="332">
        <f ca="1">INDEX(OFFSET('Adjustment scenario'!$D$1:$W$1,$D12-1,0),MATCH(R$4,'Adjustment scenario'!$D$10:$W$10,0))</f>
        <v>2.6534810000000002</v>
      </c>
      <c r="S12" s="332">
        <f ca="1">INDEX(OFFSET('Adjustment scenario'!$D$1:$W$1,$D12-1,0),MATCH(S$4,'Adjustment scenario'!$D$10:$W$10,0))</f>
        <v>2.6171765000000002</v>
      </c>
      <c r="T12" s="332">
        <f ca="1">INDEX(OFFSET('Adjustment scenario'!$D$1:$W$1,$D12-1,0),MATCH(T$4,'Adjustment scenario'!$D$10:$W$10,0))</f>
        <v>2.5808720000000003</v>
      </c>
      <c r="U12" s="332">
        <f ca="1">INDEX(OFFSET('Adjustment scenario'!$D$1:$W$1,$D12-1,0),MATCH(U$4,'Adjustment scenario'!$D$10:$W$10,0))</f>
        <v>2.5445675000000003</v>
      </c>
      <c r="V12" s="332">
        <f ca="1">INDEX(OFFSET('Adjustment scenario'!$D$1:$W$1,$D12-1,0),MATCH(V$4,'Adjustment scenario'!$D$10:$W$10,0))</f>
        <v>2.5082629999999999</v>
      </c>
      <c r="W12" s="332">
        <f ca="1">INDEX(OFFSET('Adjustment scenario'!$D$1:$W$1,$D12-1,0),MATCH(W$4,'Adjustment scenario'!$D$10:$W$10,0))</f>
        <v>2.4719584999999999</v>
      </c>
      <c r="X12" s="332">
        <f ca="1">INDEX(OFFSET('Adjustment scenario'!$D$1:$W$1,$D12-1,0),MATCH(X$4,'Adjustment scenario'!$D$10:$W$10,0))</f>
        <v>2.435654</v>
      </c>
      <c r="Y12" s="271"/>
    </row>
    <row r="13" spans="1:25" x14ac:dyDescent="0.2">
      <c r="A13" s="271"/>
      <c r="B13" s="339">
        <v>9</v>
      </c>
      <c r="C13" s="343" t="s">
        <v>227</v>
      </c>
      <c r="D13" s="344">
        <v>36</v>
      </c>
      <c r="E13" s="345" t="s">
        <v>226</v>
      </c>
      <c r="F13" s="332">
        <f ca="1">INDEX(OFFSET('Adjustment scenario'!$D$1:$W$1,$D13-1,0),MATCH(F$4,'Adjustment scenario'!$D$10:$W$10,0))</f>
        <v>1.80772</v>
      </c>
      <c r="G13" s="332">
        <f ca="1">INDEX(OFFSET('Adjustment scenario'!$D$1:$W$1,$D13-1,0),MATCH(G$4,'Adjustment scenario'!$D$10:$W$10,0))</f>
        <v>1.9077200000000001</v>
      </c>
      <c r="H13" s="332">
        <f ca="1">INDEX(OFFSET('Adjustment scenario'!$D$1:$W$1,$D13-1,0),MATCH(H$4,'Adjustment scenario'!$D$10:$W$10,0))</f>
        <v>1.9077200000000001</v>
      </c>
      <c r="I13" s="332">
        <f ca="1">INDEX(OFFSET('Adjustment scenario'!$D$1:$W$1,$D13-1,0),MATCH(I$4,'Adjustment scenario'!$D$10:$W$10,0))</f>
        <v>2.0510578068871177</v>
      </c>
      <c r="J13" s="332">
        <f ca="1">INDEX(OFFSET('Adjustment scenario'!$D$1:$W$1,$D13-1,0),MATCH(J$4,'Adjustment scenario'!$D$10:$W$10,0))</f>
        <v>2.1928297708470597</v>
      </c>
      <c r="K13" s="332">
        <f ca="1">INDEX(OFFSET('Adjustment scenario'!$D$1:$W$1,$D13-1,0),MATCH(K$4,'Adjustment scenario'!$D$10:$W$10,0))</f>
        <v>2.3254135666366342</v>
      </c>
      <c r="L13" s="332">
        <f ca="1">INDEX(OFFSET('Adjustment scenario'!$D$1:$W$1,$D13-1,0),MATCH(L$4,'Adjustment scenario'!$D$10:$W$10,0))</f>
        <v>2.456688810666209</v>
      </c>
      <c r="M13" s="332">
        <f ca="1">INDEX(OFFSET('Adjustment scenario'!$D$1:$W$1,$D13-1,0),MATCH(M$4,'Adjustment scenario'!$D$10:$W$10,0))</f>
        <v>2.5695749739605018</v>
      </c>
      <c r="N13" s="332">
        <f ca="1">INDEX(OFFSET('Adjustment scenario'!$D$1:$W$1,$D13-1,0),MATCH(N$4,'Adjustment scenario'!$D$10:$W$10,0))</f>
        <v>2.6610083125532871</v>
      </c>
      <c r="O13" s="332">
        <f ca="1">INDEX(OFFSET('Adjustment scenario'!$D$1:$W$1,$D13-1,0),MATCH(O$4,'Adjustment scenario'!$D$10:$W$10,0))</f>
        <v>2.7540713789584186</v>
      </c>
      <c r="P13" s="332">
        <f ca="1">INDEX(OFFSET('Adjustment scenario'!$D$1:$W$1,$D13-1,0),MATCH(P$4,'Adjustment scenario'!$D$10:$W$10,0))</f>
        <v>2.7790985417613721</v>
      </c>
      <c r="Q13" s="332">
        <f ca="1">INDEX(OFFSET('Adjustment scenario'!$D$1:$W$1,$D13-1,0),MATCH(Q$4,'Adjustment scenario'!$D$10:$W$10,0))</f>
        <v>2.7993131071539921</v>
      </c>
      <c r="R13" s="332">
        <f ca="1">INDEX(OFFSET('Adjustment scenario'!$D$1:$W$1,$D13-1,0),MATCH(R$4,'Adjustment scenario'!$D$10:$W$10,0))</f>
        <v>2.81589510571595</v>
      </c>
      <c r="S13" s="332">
        <f ca="1">INDEX(OFFSET('Adjustment scenario'!$D$1:$W$1,$D13-1,0),MATCH(S$4,'Adjustment scenario'!$D$10:$W$10,0))</f>
        <v>2.8320534161572186</v>
      </c>
      <c r="T13" s="332">
        <f ca="1">INDEX(OFFSET('Adjustment scenario'!$D$1:$W$1,$D13-1,0),MATCH(T$4,'Adjustment scenario'!$D$10:$W$10,0))</f>
        <v>2.8451672602399016</v>
      </c>
      <c r="U13" s="332">
        <f ca="1">INDEX(OFFSET('Adjustment scenario'!$D$1:$W$1,$D13-1,0),MATCH(U$4,'Adjustment scenario'!$D$10:$W$10,0))</f>
        <v>2.8560049688341924</v>
      </c>
      <c r="V13" s="332">
        <f ca="1">INDEX(OFFSET('Adjustment scenario'!$D$1:$W$1,$D13-1,0),MATCH(V$4,'Adjustment scenario'!$D$10:$W$10,0))</f>
        <v>2.8593154301133357</v>
      </c>
      <c r="W13" s="332">
        <f ca="1">INDEX(OFFSET('Adjustment scenario'!$D$1:$W$1,$D13-1,0),MATCH(W$4,'Adjustment scenario'!$D$10:$W$10,0))</f>
        <v>2.8593154311036688</v>
      </c>
      <c r="X13" s="332">
        <f ca="1">INDEX(OFFSET('Adjustment scenario'!$D$1:$W$1,$D13-1,0),MATCH(X$4,'Adjustment scenario'!$D$10:$W$10,0))</f>
        <v>2.8593154311036688</v>
      </c>
      <c r="Y13" s="271"/>
    </row>
    <row r="14" spans="1:25" x14ac:dyDescent="0.2">
      <c r="A14" s="271"/>
      <c r="B14" s="339">
        <v>10</v>
      </c>
      <c r="C14" s="343" t="s">
        <v>228</v>
      </c>
      <c r="D14" s="344">
        <v>72</v>
      </c>
      <c r="E14" s="345" t="s">
        <v>220</v>
      </c>
      <c r="F14" s="332">
        <f ca="1">INDEX(OFFSET('Adjustment scenario'!$D$1:$W$1,$D14-1,0),MATCH(F$4,'Adjustment scenario'!$D$10:$W$10,0))</f>
        <v>0.60125799999999996</v>
      </c>
      <c r="G14" s="332">
        <f ca="1">INDEX(OFFSET('Adjustment scenario'!$D$1:$W$1,$D14-1,0),MATCH(G$4,'Adjustment scenario'!$D$10:$W$10,0))</f>
        <v>0.99131349999999996</v>
      </c>
      <c r="H14" s="332">
        <f ca="1">INDEX(OFFSET('Adjustment scenario'!$D$1:$W$1,$D14-1,0),MATCH(H$4,'Adjustment scenario'!$D$10:$W$10,0))</f>
        <v>1.300673</v>
      </c>
      <c r="I14" s="332">
        <f ca="1">INDEX(OFFSET('Adjustment scenario'!$D$1:$W$1,$D14-1,0),MATCH(I$4,'Adjustment scenario'!$D$10:$W$10,0))</f>
        <v>0</v>
      </c>
      <c r="J14" s="332">
        <f ca="1">INDEX(OFFSET('Adjustment scenario'!$D$1:$W$1,$D14-1,0),MATCH(J$4,'Adjustment scenario'!$D$10:$W$10,0))</f>
        <v>0</v>
      </c>
      <c r="K14" s="332">
        <f ca="1">INDEX(OFFSET('Adjustment scenario'!$D$1:$W$1,$D14-1,0),MATCH(K$4,'Adjustment scenario'!$D$10:$W$10,0))</f>
        <v>0</v>
      </c>
      <c r="L14" s="332">
        <f ca="1">INDEX(OFFSET('Adjustment scenario'!$D$1:$W$1,$D14-1,0),MATCH(L$4,'Adjustment scenario'!$D$10:$W$10,0))</f>
        <v>0</v>
      </c>
      <c r="M14" s="332">
        <f ca="1">INDEX(OFFSET('Adjustment scenario'!$D$1:$W$1,$D14-1,0),MATCH(M$4,'Adjustment scenario'!$D$10:$W$10,0))</f>
        <v>0</v>
      </c>
      <c r="N14" s="332">
        <f ca="1">INDEX(OFFSET('Adjustment scenario'!$D$1:$W$1,$D14-1,0),MATCH(N$4,'Adjustment scenario'!$D$10:$W$10,0))</f>
        <v>0</v>
      </c>
      <c r="O14" s="332">
        <f ca="1">INDEX(OFFSET('Adjustment scenario'!$D$1:$W$1,$D14-1,0),MATCH(O$4,'Adjustment scenario'!$D$10:$W$10,0))</f>
        <v>0</v>
      </c>
      <c r="P14" s="332">
        <f ca="1">INDEX(OFFSET('Adjustment scenario'!$D$1:$W$1,$D14-1,0),MATCH(P$4,'Adjustment scenario'!$D$10:$W$10,0))</f>
        <v>0</v>
      </c>
      <c r="Q14" s="332">
        <f ca="1">INDEX(OFFSET('Adjustment scenario'!$D$1:$W$1,$D14-1,0),MATCH(Q$4,'Adjustment scenario'!$D$10:$W$10,0))</f>
        <v>0</v>
      </c>
      <c r="R14" s="332">
        <f ca="1">INDEX(OFFSET('Adjustment scenario'!$D$1:$W$1,$D14-1,0),MATCH(R$4,'Adjustment scenario'!$D$10:$W$10,0))</f>
        <v>0</v>
      </c>
      <c r="S14" s="332">
        <f ca="1">INDEX(OFFSET('Adjustment scenario'!$D$1:$W$1,$D14-1,0),MATCH(S$4,'Adjustment scenario'!$D$10:$W$10,0))</f>
        <v>0</v>
      </c>
      <c r="T14" s="332">
        <f ca="1">INDEX(OFFSET('Adjustment scenario'!$D$1:$W$1,$D14-1,0),MATCH(T$4,'Adjustment scenario'!$D$10:$W$10,0))</f>
        <v>0</v>
      </c>
      <c r="U14" s="332">
        <f ca="1">INDEX(OFFSET('Adjustment scenario'!$D$1:$W$1,$D14-1,0),MATCH(U$4,'Adjustment scenario'!$D$10:$W$10,0))</f>
        <v>0</v>
      </c>
      <c r="V14" s="332">
        <f ca="1">INDEX(OFFSET('Adjustment scenario'!$D$1:$W$1,$D14-1,0),MATCH(V$4,'Adjustment scenario'!$D$10:$W$10,0))</f>
        <v>0</v>
      </c>
      <c r="W14" s="332">
        <f ca="1">INDEX(OFFSET('Adjustment scenario'!$D$1:$W$1,$D14-1,0),MATCH(W$4,'Adjustment scenario'!$D$10:$W$10,0))</f>
        <v>0</v>
      </c>
      <c r="X14" s="332">
        <f ca="1">INDEX(OFFSET('Adjustment scenario'!$D$1:$W$1,$D14-1,0),MATCH(X$4,'Adjustment scenario'!$D$10:$W$10,0))</f>
        <v>0</v>
      </c>
      <c r="Y14" s="271"/>
    </row>
    <row r="15" spans="1:25" x14ac:dyDescent="0.2">
      <c r="A15" s="271"/>
      <c r="B15" s="339">
        <v>11</v>
      </c>
      <c r="C15" s="347" t="s">
        <v>62</v>
      </c>
      <c r="D15" s="344">
        <v>27</v>
      </c>
      <c r="E15" s="345" t="s">
        <v>229</v>
      </c>
      <c r="F15" s="332">
        <f ca="1">(INDEX(OFFSET('Adjustment scenario'!$D$1:$W$1,$D15-1,0),MATCH(F$4,'Adjustment scenario'!$D$10:$W$10,0))/INDEX(OFFSET('Adjustment scenario'!$D$1:$W$1,$D15-1,0),MATCH(E$4,'Adjustment scenario'!$D$10:$W$10,0))-1)*100</f>
        <v>4.0714319999999971</v>
      </c>
      <c r="G15" s="332">
        <f ca="1">(INDEX(OFFSET('Adjustment scenario'!$D$1:$W$1,$D15-1,0),MATCH(G$4,'Adjustment scenario'!$D$10:$W$10,0))/INDEX(OFFSET('Adjustment scenario'!$D$1:$W$1,$D15-1,0),MATCH(F$4,'Adjustment scenario'!$D$10:$W$10,0))-1)*100</f>
        <v>3.7461809999999929</v>
      </c>
      <c r="H15" s="332">
        <f ca="1">(INDEX(OFFSET('Adjustment scenario'!$D$1:$W$1,$D15-1,0),MATCH(H$4,'Adjustment scenario'!$D$10:$W$10,0))/INDEX(OFFSET('Adjustment scenario'!$D$1:$W$1,$D15-1,0),MATCH(G$4,'Adjustment scenario'!$D$10:$W$10,0))-1)*100</f>
        <v>3.5384190000000038</v>
      </c>
      <c r="I15" s="332">
        <f ca="1">(INDEX(OFFSET('Adjustment scenario'!$D$1:$W$1,$D15-1,0),MATCH(I$4,'Adjustment scenario'!$D$10:$W$10,0))/INDEX(OFFSET('Adjustment scenario'!$D$1:$W$1,$D15-1,0),MATCH(H$4,'Adjustment scenario'!$D$10:$W$10,0))-1)*100</f>
        <v>2.570446000000004</v>
      </c>
      <c r="J15" s="332">
        <f ca="1">(INDEX(OFFSET('Adjustment scenario'!$D$1:$W$1,$D15-1,0),MATCH(J$4,'Adjustment scenario'!$D$10:$W$10,0))/INDEX(OFFSET('Adjustment scenario'!$D$1:$W$1,$D15-1,0),MATCH(I$4,'Adjustment scenario'!$D$10:$W$10,0))-1)*100</f>
        <v>2.0366660000000092</v>
      </c>
      <c r="K15" s="332">
        <f ca="1">(INDEX(OFFSET('Adjustment scenario'!$D$1:$W$1,$D15-1,0),MATCH(K$4,'Adjustment scenario'!$D$10:$W$10,0))/INDEX(OFFSET('Adjustment scenario'!$D$1:$W$1,$D15-1,0),MATCH(J$4,'Adjustment scenario'!$D$10:$W$10,0))-1)*100</f>
        <v>1.8472189999999999</v>
      </c>
      <c r="L15" s="332">
        <f ca="1">(INDEX(OFFSET('Adjustment scenario'!$D$1:$W$1,$D15-1,0),MATCH(L$4,'Adjustment scenario'!$D$10:$W$10,0))/INDEX(OFFSET('Adjustment scenario'!$D$1:$W$1,$D15-1,0),MATCH(K$4,'Adjustment scenario'!$D$10:$W$10,0))-1)*100</f>
        <v>1.6630259999999897</v>
      </c>
      <c r="M15" s="332">
        <f ca="1">(INDEX(OFFSET('Adjustment scenario'!$D$1:$W$1,$D15-1,0),MATCH(M$4,'Adjustment scenario'!$D$10:$W$10,0))/INDEX(OFFSET('Adjustment scenario'!$D$1:$W$1,$D15-1,0),MATCH(L$4,'Adjustment scenario'!$D$10:$W$10,0))-1)*100</f>
        <v>1.57709399999999</v>
      </c>
      <c r="N15" s="332">
        <f ca="1">(INDEX(OFFSET('Adjustment scenario'!$D$1:$W$1,$D15-1,0),MATCH(N$4,'Adjustment scenario'!$D$10:$W$10,0))/INDEX(OFFSET('Adjustment scenario'!$D$1:$W$1,$D15-1,0),MATCH(M$4,'Adjustment scenario'!$D$10:$W$10,0))-1)*100</f>
        <v>1.5250999999999904</v>
      </c>
      <c r="O15" s="332">
        <f ca="1">(INDEX(OFFSET('Adjustment scenario'!$D$1:$W$1,$D15-1,0),MATCH(O$4,'Adjustment scenario'!$D$10:$W$10,0))/INDEX(OFFSET('Adjustment scenario'!$D$1:$W$1,$D15-1,0),MATCH(N$4,'Adjustment scenario'!$D$10:$W$10,0))-1)*100</f>
        <v>1.4996730000000014</v>
      </c>
      <c r="P15" s="332">
        <f ca="1">(INDEX(OFFSET('Adjustment scenario'!$D$1:$W$1,$D15-1,0),MATCH(P$4,'Adjustment scenario'!$D$10:$W$10,0))/INDEX(OFFSET('Adjustment scenario'!$D$1:$W$1,$D15-1,0),MATCH(O$4,'Adjustment scenario'!$D$10:$W$10,0))-1)*100</f>
        <v>1.472449000000009</v>
      </c>
      <c r="Q15" s="332">
        <f ca="1">(INDEX(OFFSET('Adjustment scenario'!$D$1:$W$1,$D15-1,0),MATCH(Q$4,'Adjustment scenario'!$D$10:$W$10,0))/INDEX(OFFSET('Adjustment scenario'!$D$1:$W$1,$D15-1,0),MATCH(P$4,'Adjustment scenario'!$D$10:$W$10,0))-1)*100</f>
        <v>1.5369189999999922</v>
      </c>
      <c r="R15" s="332">
        <f ca="1">(INDEX(OFFSET('Adjustment scenario'!$D$1:$W$1,$D15-1,0),MATCH(R$4,'Adjustment scenario'!$D$10:$W$10,0))/INDEX(OFFSET('Adjustment scenario'!$D$1:$W$1,$D15-1,0),MATCH(Q$4,'Adjustment scenario'!$D$10:$W$10,0))-1)*100</f>
        <v>1.6013899999999692</v>
      </c>
      <c r="S15" s="332">
        <f ca="1">(INDEX(OFFSET('Adjustment scenario'!$D$1:$W$1,$D15-1,0),MATCH(S$4,'Adjustment scenario'!$D$10:$W$10,0))/INDEX(OFFSET('Adjustment scenario'!$D$1:$W$1,$D15-1,0),MATCH(R$4,'Adjustment scenario'!$D$10:$W$10,0))-1)*100</f>
        <v>1.6658599999999968</v>
      </c>
      <c r="T15" s="332">
        <f ca="1">(INDEX(OFFSET('Adjustment scenario'!$D$1:$W$1,$D15-1,0),MATCH(T$4,'Adjustment scenario'!$D$10:$W$10,0))/INDEX(OFFSET('Adjustment scenario'!$D$1:$W$1,$D15-1,0),MATCH(S$4,'Adjustment scenario'!$D$10:$W$10,0))-1)*100</f>
        <v>1.7527730000000075</v>
      </c>
      <c r="U15" s="332">
        <f ca="1">(INDEX(OFFSET('Adjustment scenario'!$D$1:$W$1,$D15-1,0),MATCH(U$4,'Adjustment scenario'!$D$10:$W$10,0))/INDEX(OFFSET('Adjustment scenario'!$D$1:$W$1,$D15-1,0),MATCH(T$4,'Adjustment scenario'!$D$10:$W$10,0))-1)*100</f>
        <v>1.8069410000000063</v>
      </c>
      <c r="V15" s="332">
        <f ca="1">(INDEX(OFFSET('Adjustment scenario'!$D$1:$W$1,$D15-1,0),MATCH(V$4,'Adjustment scenario'!$D$10:$W$10,0))/INDEX(OFFSET('Adjustment scenario'!$D$1:$W$1,$D15-1,0),MATCH(U$4,'Adjustment scenario'!$D$10:$W$10,0))-1)*100</f>
        <v>1.8724839999999965</v>
      </c>
      <c r="W15" s="332">
        <f ca="1">(INDEX(OFFSET('Adjustment scenario'!$D$1:$W$1,$D15-1,0),MATCH(W$4,'Adjustment scenario'!$D$10:$W$10,0))/INDEX(OFFSET('Adjustment scenario'!$D$1:$W$1,$D15-1,0),MATCH(V$4,'Adjustment scenario'!$D$10:$W$10,0))-1)*100</f>
        <v>1.9423069999999987</v>
      </c>
      <c r="X15" s="332">
        <f ca="1">(INDEX(OFFSET('Adjustment scenario'!$D$1:$W$1,$D15-1,0),MATCH(X$4,'Adjustment scenario'!$D$10:$W$10,0))/INDEX(OFFSET('Adjustment scenario'!$D$1:$W$1,$D15-1,0),MATCH(W$4,'Adjustment scenario'!$D$10:$W$10,0))-1)*100</f>
        <v>1.9095050000000002</v>
      </c>
      <c r="Y15" s="271"/>
    </row>
    <row r="16" spans="1:25" x14ac:dyDescent="0.2">
      <c r="A16" s="271"/>
      <c r="B16" s="339">
        <v>12</v>
      </c>
      <c r="C16" s="335" t="s">
        <v>230</v>
      </c>
      <c r="D16" s="344">
        <v>24</v>
      </c>
      <c r="E16" s="345" t="s">
        <v>229</v>
      </c>
      <c r="F16" s="332">
        <f ca="1">INDEX(OFFSET('Adjustment scenario'!$D$1:$W$1,$D16-1,0),MATCH(F$4,'Adjustment scenario'!$D$10:$W$10,0))</f>
        <v>2.4612370000000001</v>
      </c>
      <c r="G16" s="332">
        <f ca="1">INDEX(OFFSET('Adjustment scenario'!$D$1:$W$1,$D16-1,0),MATCH(G$4,'Adjustment scenario'!$D$10:$W$10,0))</f>
        <v>2.7786170000000001</v>
      </c>
      <c r="H16" s="332">
        <f ca="1">INDEX(OFFSET('Adjustment scenario'!$D$1:$W$1,$D16-1,0),MATCH(H$4,'Adjustment scenario'!$D$10:$W$10,0))</f>
        <v>3.0115459999999983</v>
      </c>
      <c r="I16" s="332">
        <f ca="1">INDEX(OFFSET('Adjustment scenario'!$D$1:$W$1,$D16-1,0),MATCH(I$4,'Adjustment scenario'!$D$10:$W$10,0))</f>
        <v>2.1985469999999951</v>
      </c>
      <c r="J16" s="332">
        <f ca="1">INDEX(OFFSET('Adjustment scenario'!$D$1:$W$1,$D16-1,0),MATCH(J$4,'Adjustment scenario'!$D$10:$W$10,0))</f>
        <v>1.541576999999994</v>
      </c>
      <c r="K16" s="332">
        <f ca="1">INDEX(OFFSET('Adjustment scenario'!$D$1:$W$1,$D16-1,0),MATCH(K$4,'Adjustment scenario'!$D$10:$W$10,0))</f>
        <v>1.5989309999999923</v>
      </c>
      <c r="L16" s="332">
        <f ca="1">INDEX(OFFSET('Adjustment scenario'!$D$1:$W$1,$D16-1,0),MATCH(L$4,'Adjustment scenario'!$D$10:$W$10,0))</f>
        <v>1.6630259999999897</v>
      </c>
      <c r="M16" s="332">
        <f ca="1">INDEX(OFFSET('Adjustment scenario'!$D$1:$W$1,$D16-1,0),MATCH(M$4,'Adjustment scenario'!$D$10:$W$10,0))</f>
        <v>1.5770960000000001</v>
      </c>
      <c r="N16" s="332">
        <f ca="1">INDEX(OFFSET('Adjustment scenario'!$D$1:$W$1,$D16-1,0),MATCH(N$4,'Adjustment scenario'!$D$10:$W$10,0))</f>
        <v>1.5250999999999904</v>
      </c>
      <c r="O16" s="332">
        <f ca="1">INDEX(OFFSET('Adjustment scenario'!$D$1:$W$1,$D16-1,0),MATCH(O$4,'Adjustment scenario'!$D$10:$W$10,0))</f>
        <v>1.4996709999999913</v>
      </c>
      <c r="P16" s="332">
        <f ca="1">INDEX(OFFSET('Adjustment scenario'!$D$1:$W$1,$D16-1,0),MATCH(P$4,'Adjustment scenario'!$D$10:$W$10,0))</f>
        <v>1.4724509999999968</v>
      </c>
      <c r="Q16" s="332">
        <f ca="1">INDEX(OFFSET('Adjustment scenario'!$D$1:$W$1,$D16-1,0),MATCH(Q$4,'Adjustment scenario'!$D$10:$W$10,0))</f>
        <v>1.5369170000000043</v>
      </c>
      <c r="R16" s="332">
        <f ca="1">INDEX(OFFSET('Adjustment scenario'!$D$1:$W$1,$D16-1,0),MATCH(R$4,'Adjustment scenario'!$D$10:$W$10,0))</f>
        <v>1.6013870000000097</v>
      </c>
      <c r="S16" s="332">
        <f ca="1">INDEX(OFFSET('Adjustment scenario'!$D$1:$W$1,$D16-1,0),MATCH(S$4,'Adjustment scenario'!$D$10:$W$10,0))</f>
        <v>1.6658569999999928</v>
      </c>
      <c r="T16" s="332">
        <f ca="1">INDEX(OFFSET('Adjustment scenario'!$D$1:$W$1,$D16-1,0),MATCH(T$4,'Adjustment scenario'!$D$10:$W$10,0))</f>
        <v>1.7527700000000035</v>
      </c>
      <c r="U16" s="332">
        <f ca="1">INDEX(OFFSET('Adjustment scenario'!$D$1:$W$1,$D16-1,0),MATCH(U$4,'Adjustment scenario'!$D$10:$W$10,0))</f>
        <v>1.8069420000000003</v>
      </c>
      <c r="V16" s="332">
        <f ca="1">INDEX(OFFSET('Adjustment scenario'!$D$1:$W$1,$D16-1,0),MATCH(V$4,'Adjustment scenario'!$D$10:$W$10,0))</f>
        <v>1.8724879999999944</v>
      </c>
      <c r="W16" s="332">
        <f ca="1">INDEX(OFFSET('Adjustment scenario'!$D$1:$W$1,$D16-1,0),MATCH(W$4,'Adjustment scenario'!$D$10:$W$10,0))</f>
        <v>1.9423069999999987</v>
      </c>
      <c r="X16" s="332">
        <f ca="1">INDEX(OFFSET('Adjustment scenario'!$D$1:$W$1,$D16-1,0),MATCH(X$4,'Adjustment scenario'!$D$10:$W$10,0))</f>
        <v>1.9095040000000063</v>
      </c>
      <c r="Y16" s="271"/>
    </row>
    <row r="17" spans="1:25" x14ac:dyDescent="0.2">
      <c r="A17" s="271"/>
      <c r="B17" s="339">
        <v>13</v>
      </c>
      <c r="C17" s="348" t="s">
        <v>231</v>
      </c>
      <c r="D17" s="344">
        <v>42</v>
      </c>
      <c r="E17" s="345" t="s">
        <v>229</v>
      </c>
      <c r="F17" s="332">
        <f ca="1">INDEX(OFFSET('Adjustment scenario'!$D$1:$W$1,$D17-1,0),MATCH(F$4,'Adjustment scenario'!$D$10:$W$10,0))</f>
        <v>4.7312440000000002</v>
      </c>
      <c r="G17" s="332">
        <f ca="1">INDEX(OFFSET('Adjustment scenario'!$D$1:$W$1,$D17-1,0),MATCH(G$4,'Adjustment scenario'!$D$10:$W$10,0))</f>
        <v>3.7133859999999999</v>
      </c>
      <c r="H17" s="332">
        <f ca="1">INDEX(OFFSET('Adjustment scenario'!$D$1:$W$1,$D17-1,0),MATCH(H$4,'Adjustment scenario'!$D$10:$W$10,0))</f>
        <v>2.3751250000000002</v>
      </c>
      <c r="I17" s="332">
        <f ca="1">INDEX(OFFSET('Adjustment scenario'!$D$1:$W$1,$D17-1,0),MATCH(I$4,'Adjustment scenario'!$D$10:$W$10,0))</f>
        <v>2.3969843750000002</v>
      </c>
      <c r="J17" s="332">
        <f ca="1">INDEX(OFFSET('Adjustment scenario'!$D$1:$W$1,$D17-1,0),MATCH(J$4,'Adjustment scenario'!$D$10:$W$10,0))</f>
        <v>2.4188437500000002</v>
      </c>
      <c r="K17" s="332">
        <f ca="1">INDEX(OFFSET('Adjustment scenario'!$D$1:$W$1,$D17-1,0),MATCH(K$4,'Adjustment scenario'!$D$10:$W$10,0))</f>
        <v>2.4407031250000002</v>
      </c>
      <c r="L17" s="332">
        <f ca="1">INDEX(OFFSET('Adjustment scenario'!$D$1:$W$1,$D17-1,0),MATCH(L$4,'Adjustment scenario'!$D$10:$W$10,0))</f>
        <v>2.4625624999999998</v>
      </c>
      <c r="M17" s="332">
        <f ca="1">INDEX(OFFSET('Adjustment scenario'!$D$1:$W$1,$D17-1,0),MATCH(M$4,'Adjustment scenario'!$D$10:$W$10,0))</f>
        <v>2.4844218749999998</v>
      </c>
      <c r="N17" s="332">
        <f ca="1">INDEX(OFFSET('Adjustment scenario'!$D$1:$W$1,$D17-1,0),MATCH(N$4,'Adjustment scenario'!$D$10:$W$10,0))</f>
        <v>2.5062812499999998</v>
      </c>
      <c r="O17" s="332">
        <f ca="1">INDEX(OFFSET('Adjustment scenario'!$D$1:$W$1,$D17-1,0),MATCH(O$4,'Adjustment scenario'!$D$10:$W$10,0))</f>
        <v>2.5281406249999998</v>
      </c>
      <c r="P17" s="332">
        <f ca="1">INDEX(OFFSET('Adjustment scenario'!$D$1:$W$1,$D17-1,0),MATCH(P$4,'Adjustment scenario'!$D$10:$W$10,0))</f>
        <v>2.5499999999999998</v>
      </c>
      <c r="Q17" s="332">
        <f ca="1">INDEX(OFFSET('Adjustment scenario'!$D$1:$W$1,$D17-1,0),MATCH(Q$4,'Adjustment scenario'!$D$10:$W$10,0))</f>
        <v>2.5225</v>
      </c>
      <c r="R17" s="332">
        <f ca="1">INDEX(OFFSET('Adjustment scenario'!$D$1:$W$1,$D17-1,0),MATCH(R$4,'Adjustment scenario'!$D$10:$W$10,0))</f>
        <v>2.4949999999999997</v>
      </c>
      <c r="S17" s="332">
        <f ca="1">INDEX(OFFSET('Adjustment scenario'!$D$1:$W$1,$D17-1,0),MATCH(S$4,'Adjustment scenario'!$D$10:$W$10,0))</f>
        <v>2.4674999999999998</v>
      </c>
      <c r="T17" s="332">
        <f ca="1">INDEX(OFFSET('Adjustment scenario'!$D$1:$W$1,$D17-1,0),MATCH(T$4,'Adjustment scenario'!$D$10:$W$10,0))</f>
        <v>2.44</v>
      </c>
      <c r="U17" s="332">
        <f ca="1">INDEX(OFFSET('Adjustment scenario'!$D$1:$W$1,$D17-1,0),MATCH(U$4,'Adjustment scenario'!$D$10:$W$10,0))</f>
        <v>2.4124999999999996</v>
      </c>
      <c r="V17" s="332">
        <f ca="1">INDEX(OFFSET('Adjustment scenario'!$D$1:$W$1,$D17-1,0),MATCH(V$4,'Adjustment scenario'!$D$10:$W$10,0))</f>
        <v>2.3849999999999998</v>
      </c>
      <c r="W17" s="332">
        <f ca="1">INDEX(OFFSET('Adjustment scenario'!$D$1:$W$1,$D17-1,0),MATCH(W$4,'Adjustment scenario'!$D$10:$W$10,0))</f>
        <v>2.3574999999999999</v>
      </c>
      <c r="X17" s="332">
        <f ca="1">INDEX(OFFSET('Adjustment scenario'!$D$1:$W$1,$D17-1,0),MATCH(X$4,'Adjustment scenario'!$D$10:$W$10,0))</f>
        <v>2.33</v>
      </c>
      <c r="Y17" s="271"/>
    </row>
    <row r="18" spans="1:25" x14ac:dyDescent="0.2">
      <c r="A18" s="271"/>
      <c r="B18" s="339">
        <v>14</v>
      </c>
      <c r="C18" s="335" t="s">
        <v>232</v>
      </c>
      <c r="D18" s="344">
        <v>33</v>
      </c>
      <c r="E18" s="345" t="s">
        <v>229</v>
      </c>
      <c r="F18" s="332">
        <f ca="1">INDEX(OFFSET('Adjustment scenario'!$D$1:$W$1,$D18-1,0),MATCH(F$4,'Adjustment scenario'!$D$10:$W$10,0))</f>
        <v>7.3089281278882812</v>
      </c>
      <c r="G18" s="332">
        <f ca="1">INDEX(OFFSET('Adjustment scenario'!$D$1:$W$1,$D18-1,0),MATCH(G$4,'Adjustment scenario'!$D$10:$W$10,0))</f>
        <v>6.5951837746716091</v>
      </c>
      <c r="H18" s="332">
        <f ca="1">INDEX(OFFSET('Adjustment scenario'!$D$1:$W$1,$D18-1,0),MATCH(H$4,'Adjustment scenario'!$D$10:$W$10,0))</f>
        <v>5.4581989819325161</v>
      </c>
      <c r="I18" s="332">
        <f ca="1">INDEX(OFFSET('Adjustment scenario'!$D$1:$W$1,$D18-1,0),MATCH(I$4,'Adjustment scenario'!$D$10:$W$10,0))</f>
        <v>4.6482302030670164</v>
      </c>
      <c r="J18" s="332">
        <f ca="1">INDEX(OFFSET('Adjustment scenario'!$D$1:$W$1,$D18-1,0),MATCH(J$4,'Adjustment scenario'!$D$10:$W$10,0))</f>
        <v>3.9977090889159461</v>
      </c>
      <c r="K18" s="332">
        <f ca="1">INDEX(OFFSET('Adjustment scenario'!$D$1:$W$1,$D18-1,0),MATCH(K$4,'Adjustment scenario'!$D$10:$W$10,0))</f>
        <v>4.0786592838835789</v>
      </c>
      <c r="L18" s="332">
        <f ca="1">INDEX(OFFSET('Adjustment scenario'!$D$1:$W$1,$D18-1,0),MATCH(L$4,'Adjustment scenario'!$D$10:$W$10,0))</f>
        <v>4.1665415546412454</v>
      </c>
      <c r="M18" s="332">
        <f ca="1">INDEX(OFFSET('Adjustment scenario'!$D$1:$W$1,$D18-1,0),MATCH(M$4,'Adjustment scenario'!$D$10:$W$10,0))</f>
        <v>4.1006995930137569</v>
      </c>
      <c r="N18" s="332">
        <f ca="1">INDEX(OFFSET('Adjustment scenario'!$D$1:$W$1,$D18-1,0),MATCH(N$4,'Adjustment scenario'!$D$10:$W$10,0))</f>
        <v>4.0696045453437524</v>
      </c>
      <c r="O18" s="332">
        <f ca="1">INDEX(OFFSET('Adjustment scenario'!$D$1:$W$1,$D18-1,0),MATCH(O$4,'Adjustment scenario'!$D$10:$W$10,0))</f>
        <v>4.0657254167923318</v>
      </c>
      <c r="P18" s="332">
        <f ca="1">INDEX(OFFSET('Adjustment scenario'!$D$1:$W$1,$D18-1,0),MATCH(P$4,'Adjustment scenario'!$D$10:$W$10,0))</f>
        <v>4.0599985005000061</v>
      </c>
      <c r="Q18" s="332">
        <f ca="1">INDEX(OFFSET('Adjustment scenario'!$D$1:$W$1,$D18-1,0),MATCH(Q$4,'Adjustment scenario'!$D$10:$W$10,0))</f>
        <v>4.0981857313250103</v>
      </c>
      <c r="R18" s="332">
        <f ca="1">INDEX(OFFSET('Adjustment scenario'!$D$1:$W$1,$D18-1,0),MATCH(R$4,'Adjustment scenario'!$D$10:$W$10,0))</f>
        <v>4.136341605650018</v>
      </c>
      <c r="S18" s="332">
        <f ca="1">INDEX(OFFSET('Adjustment scenario'!$D$1:$W$1,$D18-1,0),MATCH(S$4,'Adjustment scenario'!$D$10:$W$10,0))</f>
        <v>4.1744620214750006</v>
      </c>
      <c r="T18" s="332">
        <f ca="1">INDEX(OFFSET('Adjustment scenario'!$D$1:$W$1,$D18-1,0),MATCH(T$4,'Adjustment scenario'!$D$10:$W$10,0))</f>
        <v>4.2355375879999935</v>
      </c>
      <c r="U18" s="332">
        <f ca="1">INDEX(OFFSET('Adjustment scenario'!$D$1:$W$1,$D18-1,0),MATCH(U$4,'Adjustment scenario'!$D$10:$W$10,0))</f>
        <v>4.2630344757500049</v>
      </c>
      <c r="V18" s="332">
        <f ca="1">INDEX(OFFSET('Adjustment scenario'!$D$1:$W$1,$D18-1,0),MATCH(V$4,'Adjustment scenario'!$D$10:$W$10,0))</f>
        <v>4.3021468387999917</v>
      </c>
      <c r="W18" s="332">
        <f ca="1">INDEX(OFFSET('Adjustment scenario'!$D$1:$W$1,$D18-1,0),MATCH(W$4,'Adjustment scenario'!$D$10:$W$10,0))</f>
        <v>4.3455968875249829</v>
      </c>
      <c r="X18" s="332">
        <f ca="1">INDEX(OFFSET('Adjustment scenario'!$D$1:$W$1,$D18-1,0),MATCH(X$4,'Adjustment scenario'!$D$10:$W$10,0))</f>
        <v>4.2839954432000171</v>
      </c>
      <c r="Y18" s="271"/>
    </row>
    <row r="19" spans="1:25" x14ac:dyDescent="0.2">
      <c r="A19" s="271"/>
      <c r="B19" s="333"/>
      <c r="C19" s="354"/>
      <c r="D19" s="354"/>
      <c r="E19" s="354"/>
      <c r="F19" s="354"/>
      <c r="G19" s="354"/>
      <c r="H19" s="354"/>
      <c r="I19" s="354"/>
      <c r="J19" s="354"/>
      <c r="K19" s="271"/>
      <c r="L19" s="271"/>
      <c r="M19" s="271"/>
      <c r="N19" s="271"/>
      <c r="O19" s="271"/>
      <c r="P19" s="271"/>
      <c r="Q19" s="271"/>
      <c r="R19" s="271"/>
      <c r="S19" s="271"/>
      <c r="T19" s="271"/>
      <c r="U19" s="271"/>
      <c r="V19" s="271"/>
      <c r="W19" s="271"/>
      <c r="X19" s="271"/>
      <c r="Y19" s="271"/>
    </row>
    <row r="20" spans="1:25" x14ac:dyDescent="0.2">
      <c r="A20" s="271"/>
      <c r="B20" s="355"/>
      <c r="C20" s="337" t="s">
        <v>233</v>
      </c>
      <c r="D20" s="338"/>
      <c r="E20" s="338"/>
      <c r="F20" s="338"/>
      <c r="G20" s="354"/>
      <c r="H20" s="354"/>
      <c r="I20" s="354"/>
      <c r="J20" s="354"/>
      <c r="K20" s="271"/>
      <c r="L20" s="271"/>
      <c r="M20" s="271"/>
      <c r="N20" s="271"/>
      <c r="O20" s="271"/>
      <c r="P20" s="271"/>
      <c r="Q20" s="271"/>
      <c r="R20" s="271"/>
      <c r="S20" s="271"/>
      <c r="T20" s="271"/>
      <c r="U20" s="271"/>
      <c r="V20" s="271"/>
      <c r="W20" s="271"/>
      <c r="X20" s="271"/>
      <c r="Y20" s="271"/>
    </row>
    <row r="21" spans="1:25" x14ac:dyDescent="0.2">
      <c r="A21" s="271"/>
      <c r="B21" s="333"/>
      <c r="C21" s="354"/>
      <c r="D21" s="354"/>
      <c r="E21" s="354"/>
      <c r="F21" s="354"/>
      <c r="G21" s="354"/>
      <c r="H21" s="354"/>
      <c r="I21" s="354"/>
      <c r="J21" s="354"/>
      <c r="K21" s="271"/>
      <c r="L21" s="271"/>
      <c r="M21" s="271"/>
      <c r="N21" s="271"/>
      <c r="O21" s="271"/>
      <c r="P21" s="271"/>
      <c r="Q21" s="271"/>
      <c r="R21" s="271"/>
      <c r="S21" s="271"/>
      <c r="T21" s="271"/>
      <c r="U21" s="271"/>
      <c r="V21" s="271"/>
      <c r="W21" s="271"/>
      <c r="X21" s="271"/>
      <c r="Y21" s="271"/>
    </row>
    <row r="22" spans="1:25" x14ac:dyDescent="0.2">
      <c r="A22" s="271"/>
      <c r="B22" s="339"/>
      <c r="C22" s="337" t="s">
        <v>26</v>
      </c>
      <c r="D22" s="337"/>
      <c r="E22" s="341">
        <f>F22-1</f>
        <v>2022</v>
      </c>
      <c r="F22" s="342">
        <f>'Input data'!$C$5-1</f>
        <v>2023</v>
      </c>
      <c r="G22" s="342">
        <f>F22+1</f>
        <v>2024</v>
      </c>
      <c r="H22" s="342">
        <f t="shared" ref="H22:X22" si="1">G22+1</f>
        <v>2025</v>
      </c>
      <c r="I22" s="342">
        <f t="shared" si="1"/>
        <v>2026</v>
      </c>
      <c r="J22" s="342">
        <f t="shared" si="1"/>
        <v>2027</v>
      </c>
      <c r="K22" s="342">
        <f t="shared" si="1"/>
        <v>2028</v>
      </c>
      <c r="L22" s="342">
        <f t="shared" si="1"/>
        <v>2029</v>
      </c>
      <c r="M22" s="342">
        <f t="shared" si="1"/>
        <v>2030</v>
      </c>
      <c r="N22" s="342">
        <f t="shared" si="1"/>
        <v>2031</v>
      </c>
      <c r="O22" s="342">
        <f t="shared" si="1"/>
        <v>2032</v>
      </c>
      <c r="P22" s="342">
        <f t="shared" si="1"/>
        <v>2033</v>
      </c>
      <c r="Q22" s="342">
        <f t="shared" si="1"/>
        <v>2034</v>
      </c>
      <c r="R22" s="342">
        <f t="shared" si="1"/>
        <v>2035</v>
      </c>
      <c r="S22" s="342">
        <f t="shared" si="1"/>
        <v>2036</v>
      </c>
      <c r="T22" s="342">
        <f t="shared" si="1"/>
        <v>2037</v>
      </c>
      <c r="U22" s="342">
        <f t="shared" si="1"/>
        <v>2038</v>
      </c>
      <c r="V22" s="342">
        <f t="shared" si="1"/>
        <v>2039</v>
      </c>
      <c r="W22" s="342">
        <f t="shared" si="1"/>
        <v>2040</v>
      </c>
      <c r="X22" s="342">
        <f t="shared" si="1"/>
        <v>2041</v>
      </c>
      <c r="Y22" s="271"/>
    </row>
    <row r="23" spans="1:25" x14ac:dyDescent="0.2">
      <c r="A23" s="271"/>
      <c r="B23" s="339">
        <v>1</v>
      </c>
      <c r="C23" s="343" t="s">
        <v>219</v>
      </c>
      <c r="D23" s="344">
        <v>56</v>
      </c>
      <c r="E23" s="345" t="s">
        <v>220</v>
      </c>
      <c r="F23" s="332">
        <f ca="1">INDEX(OFFSET('Financial stress'!$D$1:$W$1,$D23-1,0),MATCH(F$4,'Financial stress'!$D$10:$W$10,0))</f>
        <v>77.284440321959977</v>
      </c>
      <c r="G23" s="332">
        <f ca="1">INDEX(OFFSET('Financial stress'!$D$1:$W$1,$D23-1,0),MATCH(G$4,'Financial stress'!$D$10:$W$10,0))</f>
        <v>70.579945075187567</v>
      </c>
      <c r="H23" s="332">
        <f ca="1">INDEX(OFFSET('Financial stress'!$D$1:$W$1,$D23-1,0),MATCH(H$4,'Financial stress'!$D$10:$W$10,0))</f>
        <v>65.467738950078513</v>
      </c>
      <c r="I23" s="332">
        <f ca="1">INDEX(OFFSET('Financial stress'!$D$1:$W$1,$D23-1,0),MATCH(I$4,'Financial stress'!$D$10:$W$10,0))</f>
        <v>59.99104804318636</v>
      </c>
      <c r="J23" s="332">
        <f ca="1">INDEX(OFFSET('Financial stress'!$D$1:$W$1,$D23-1,0),MATCH(J$4,'Financial stress'!$D$10:$W$10,0))</f>
        <v>55.344336413083951</v>
      </c>
      <c r="K23" s="332">
        <f ca="1">INDEX(OFFSET('Financial stress'!$D$1:$W$1,$D23-1,0),MATCH(K$4,'Financial stress'!$D$10:$W$10,0))</f>
        <v>50.929639670376446</v>
      </c>
      <c r="L23" s="332">
        <f ca="1">INDEX(OFFSET('Financial stress'!$D$1:$W$1,$D23-1,0),MATCH(L$4,'Financial stress'!$D$10:$W$10,0))</f>
        <v>46.548692197773534</v>
      </c>
      <c r="M23" s="332">
        <f ca="1">INDEX(OFFSET('Financial stress'!$D$1:$W$1,$D23-1,0),MATCH(M$4,'Financial stress'!$D$10:$W$10,0))</f>
        <v>42.553495010505735</v>
      </c>
      <c r="N23" s="332">
        <f ca="1">INDEX(OFFSET('Financial stress'!$D$1:$W$1,$D23-1,0),MATCH(N$4,'Financial stress'!$D$10:$W$10,0))</f>
        <v>38.904677722763694</v>
      </c>
      <c r="O23" s="332">
        <f ca="1">INDEX(OFFSET('Financial stress'!$D$1:$W$1,$D23-1,0),MATCH(O$4,'Financial stress'!$D$10:$W$10,0))</f>
        <v>35.532869743259823</v>
      </c>
      <c r="P23" s="332">
        <f ca="1">INDEX(OFFSET('Financial stress'!$D$1:$W$1,$D23-1,0),MATCH(P$4,'Financial stress'!$D$10:$W$10,0))</f>
        <v>32.447374709286031</v>
      </c>
      <c r="Q23" s="332">
        <f ca="1">INDEX(OFFSET('Financial stress'!$D$1:$W$1,$D23-1,0),MATCH(Q$4,'Financial stress'!$D$10:$W$10,0))</f>
        <v>29.548483961840006</v>
      </c>
      <c r="R23" s="332">
        <f ca="1">INDEX(OFFSET('Financial stress'!$D$1:$W$1,$D23-1,0),MATCH(R$4,'Financial stress'!$D$10:$W$10,0))</f>
        <v>26.894337564353137</v>
      </c>
      <c r="S23" s="332">
        <f ca="1">INDEX(OFFSET('Financial stress'!$D$1:$W$1,$D23-1,0),MATCH(S$4,'Financial stress'!$D$10:$W$10,0))</f>
        <v>24.415253958695605</v>
      </c>
      <c r="T23" s="332">
        <f ca="1">INDEX(OFFSET('Financial stress'!$D$1:$W$1,$D23-1,0),MATCH(T$4,'Financial stress'!$D$10:$W$10,0))</f>
        <v>22.071651948017312</v>
      </c>
      <c r="U23" s="332">
        <f ca="1">INDEX(OFFSET('Financial stress'!$D$1:$W$1,$D23-1,0),MATCH(U$4,'Financial stress'!$D$10:$W$10,0))</f>
        <v>19.862940021065107</v>
      </c>
      <c r="V23" s="332">
        <f ca="1">INDEX(OFFSET('Financial stress'!$D$1:$W$1,$D23-1,0),MATCH(V$4,'Financial stress'!$D$10:$W$10,0))</f>
        <v>17.477641173179201</v>
      </c>
      <c r="W23" s="332">
        <f ca="1">INDEX(OFFSET('Financial stress'!$D$1:$W$1,$D23-1,0),MATCH(W$4,'Financial stress'!$D$10:$W$10,0))</f>
        <v>15.305886378250605</v>
      </c>
      <c r="X23" s="332">
        <f ca="1">INDEX(OFFSET('Financial stress'!$D$1:$W$1,$D23-1,0),MATCH(X$4,'Financial stress'!$D$10:$W$10,0))</f>
        <v>13.191661945599082</v>
      </c>
      <c r="Y23" s="271"/>
    </row>
    <row r="24" spans="1:25" x14ac:dyDescent="0.2">
      <c r="A24" s="271"/>
      <c r="B24" s="339">
        <v>2</v>
      </c>
      <c r="C24" s="343" t="s">
        <v>94</v>
      </c>
      <c r="D24" s="344">
        <v>36</v>
      </c>
      <c r="E24" s="345" t="s">
        <v>226</v>
      </c>
      <c r="F24" s="332">
        <f ca="1">INDEX(OFFSET('Financial stress'!$D$1:$W$1,$D24-1,0),MATCH(F$4,'Financial stress'!$D$10:$W$10,0))</f>
        <v>3.91</v>
      </c>
      <c r="G24" s="332">
        <f ca="1">INDEX(OFFSET('Financial stress'!$D$1:$W$1,$D24-1,0),MATCH(G$4,'Financial stress'!$D$10:$W$10,0))</f>
        <v>3.3161689999999999</v>
      </c>
      <c r="H24" s="332">
        <f ca="1">INDEX(OFFSET('Financial stress'!$D$1:$W$1,$D24-1,0),MATCH(H$4,'Financial stress'!$D$10:$W$10,0))</f>
        <v>3.3153579999999998</v>
      </c>
      <c r="I24" s="332">
        <f ca="1">INDEX(OFFSET('Financial stress'!$D$1:$W$1,$D24-1,0),MATCH(I$4,'Financial stress'!$D$10:$W$10,0))</f>
        <v>3.381707</v>
      </c>
      <c r="J24" s="332">
        <f ca="1">INDEX(OFFSET('Financial stress'!$D$1:$W$1,$D24-1,0),MATCH(J$4,'Financial stress'!$D$10:$W$10,0))</f>
        <v>3.4480560000000002</v>
      </c>
      <c r="K24" s="332">
        <f ca="1">INDEX(OFFSET('Financial stress'!$D$1:$W$1,$D24-1,0),MATCH(K$4,'Financial stress'!$D$10:$W$10,0))</f>
        <v>3.5144050000000004</v>
      </c>
      <c r="L24" s="332">
        <f ca="1">INDEX(OFFSET('Financial stress'!$D$1:$W$1,$D24-1,0),MATCH(L$4,'Financial stress'!$D$10:$W$10,0))</f>
        <v>4.5807539999999998</v>
      </c>
      <c r="M24" s="332">
        <f ca="1">INDEX(OFFSET('Financial stress'!$D$1:$W$1,$D24-1,0),MATCH(M$4,'Financial stress'!$D$10:$W$10,0))</f>
        <v>3.647103</v>
      </c>
      <c r="N24" s="332">
        <f ca="1">INDEX(OFFSET('Financial stress'!$D$1:$W$1,$D24-1,0),MATCH(N$4,'Financial stress'!$D$10:$W$10,0))</f>
        <v>3.7134520000000002</v>
      </c>
      <c r="O24" s="332">
        <f ca="1">INDEX(OFFSET('Financial stress'!$D$1:$W$1,$D24-1,0),MATCH(O$4,'Financial stress'!$D$10:$W$10,0))</f>
        <v>3.779801</v>
      </c>
      <c r="P24" s="332">
        <f ca="1">INDEX(OFFSET('Financial stress'!$D$1:$W$1,$D24-1,0),MATCH(P$4,'Financial stress'!$D$10:$W$10,0))</f>
        <v>3.8461500000000002</v>
      </c>
      <c r="Q24" s="332">
        <f ca="1">INDEX(OFFSET('Financial stress'!$D$1:$W$1,$D24-1,0),MATCH(Q$4,'Financial stress'!$D$10:$W$10,0))</f>
        <v>3.8538425000000003</v>
      </c>
      <c r="R24" s="332">
        <f ca="1">INDEX(OFFSET('Financial stress'!$D$1:$W$1,$D24-1,0),MATCH(R$4,'Financial stress'!$D$10:$W$10,0))</f>
        <v>3.8615349999999999</v>
      </c>
      <c r="S24" s="332">
        <f ca="1">INDEX(OFFSET('Financial stress'!$D$1:$W$1,$D24-1,0),MATCH(S$4,'Financial stress'!$D$10:$W$10,0))</f>
        <v>3.8692275</v>
      </c>
      <c r="T24" s="332">
        <f ca="1">INDEX(OFFSET('Financial stress'!$D$1:$W$1,$D24-1,0),MATCH(T$4,'Financial stress'!$D$10:$W$10,0))</f>
        <v>3.8769200000000001</v>
      </c>
      <c r="U24" s="332">
        <f ca="1">INDEX(OFFSET('Financial stress'!$D$1:$W$1,$D24-1,0),MATCH(U$4,'Financial stress'!$D$10:$W$10,0))</f>
        <v>3.8846125000000002</v>
      </c>
      <c r="V24" s="332">
        <f ca="1">INDEX(OFFSET('Financial stress'!$D$1:$W$1,$D24-1,0),MATCH(V$4,'Financial stress'!$D$10:$W$10,0))</f>
        <v>3.8923050000000003</v>
      </c>
      <c r="W24" s="332">
        <f ca="1">INDEX(OFFSET('Financial stress'!$D$1:$W$1,$D24-1,0),MATCH(W$4,'Financial stress'!$D$10:$W$10,0))</f>
        <v>3.8999975</v>
      </c>
      <c r="X24" s="332">
        <f ca="1">INDEX(OFFSET('Financial stress'!$D$1:$W$1,$D24-1,0),MATCH(X$4,'Financial stress'!$D$10:$W$10,0))</f>
        <v>3.9076900000000001</v>
      </c>
      <c r="Y24" s="271"/>
    </row>
    <row r="25" spans="1:25" x14ac:dyDescent="0.2">
      <c r="A25" s="271"/>
      <c r="B25" s="339">
        <v>3</v>
      </c>
      <c r="C25" s="343" t="s">
        <v>95</v>
      </c>
      <c r="D25" s="344">
        <v>37</v>
      </c>
      <c r="E25" s="345" t="s">
        <v>226</v>
      </c>
      <c r="F25" s="332">
        <f ca="1">INDEX(OFFSET('Financial stress'!$D$1:$W$1,$D25-1,0),MATCH(F$4,'Financial stress'!$D$10:$W$10,0))</f>
        <v>3.43</v>
      </c>
      <c r="G25" s="332">
        <f ca="1">INDEX(OFFSET('Financial stress'!$D$1:$W$1,$D25-1,0),MATCH(G$4,'Financial stress'!$D$10:$W$10,0))</f>
        <v>3.5642079999999998</v>
      </c>
      <c r="H25" s="332">
        <f ca="1">INDEX(OFFSET('Financial stress'!$D$1:$W$1,$D25-1,0),MATCH(H$4,'Financial stress'!$D$10:$W$10,0))</f>
        <v>2.8163749999999999</v>
      </c>
      <c r="I25" s="332">
        <f ca="1">INDEX(OFFSET('Financial stress'!$D$1:$W$1,$D25-1,0),MATCH(I$4,'Financial stress'!$D$10:$W$10,0))</f>
        <v>2.8050893749999997</v>
      </c>
      <c r="J25" s="332">
        <f ca="1">INDEX(OFFSET('Financial stress'!$D$1:$W$1,$D25-1,0),MATCH(J$4,'Financial stress'!$D$10:$W$10,0))</f>
        <v>2.7938037499999995</v>
      </c>
      <c r="K25" s="332">
        <f ca="1">INDEX(OFFSET('Financial stress'!$D$1:$W$1,$D25-1,0),MATCH(K$4,'Financial stress'!$D$10:$W$10,0))</f>
        <v>2.7825181249999993</v>
      </c>
      <c r="L25" s="332">
        <f ca="1">INDEX(OFFSET('Financial stress'!$D$1:$W$1,$D25-1,0),MATCH(L$4,'Financial stress'!$D$10:$W$10,0))</f>
        <v>3.7712325</v>
      </c>
      <c r="M25" s="332">
        <f ca="1">INDEX(OFFSET('Financial stress'!$D$1:$W$1,$D25-1,0),MATCH(M$4,'Financial stress'!$D$10:$W$10,0))</f>
        <v>2.7599468749999998</v>
      </c>
      <c r="N25" s="332">
        <f ca="1">INDEX(OFFSET('Financial stress'!$D$1:$W$1,$D25-1,0),MATCH(N$4,'Financial stress'!$D$10:$W$10,0))</f>
        <v>2.7486612500000001</v>
      </c>
      <c r="O25" s="332">
        <f ca="1">INDEX(OFFSET('Financial stress'!$D$1:$W$1,$D25-1,0),MATCH(O$4,'Financial stress'!$D$10:$W$10,0))</f>
        <v>2.7373756250000003</v>
      </c>
      <c r="P25" s="332">
        <f ca="1">INDEX(OFFSET('Financial stress'!$D$1:$W$1,$D25-1,0),MATCH(P$4,'Financial stress'!$D$10:$W$10,0))</f>
        <v>2.7260900000000001</v>
      </c>
      <c r="Q25" s="332">
        <f ca="1">INDEX(OFFSET('Financial stress'!$D$1:$W$1,$D25-1,0),MATCH(Q$4,'Financial stress'!$D$10:$W$10,0))</f>
        <v>2.6897855000000002</v>
      </c>
      <c r="R25" s="332">
        <f ca="1">INDEX(OFFSET('Financial stress'!$D$1:$W$1,$D25-1,0),MATCH(R$4,'Financial stress'!$D$10:$W$10,0))</f>
        <v>2.6534810000000002</v>
      </c>
      <c r="S25" s="332">
        <f ca="1">INDEX(OFFSET('Financial stress'!$D$1:$W$1,$D25-1,0),MATCH(S$4,'Financial stress'!$D$10:$W$10,0))</f>
        <v>2.6171765000000002</v>
      </c>
      <c r="T25" s="332">
        <f ca="1">INDEX(OFFSET('Financial stress'!$D$1:$W$1,$D25-1,0),MATCH(T$4,'Financial stress'!$D$10:$W$10,0))</f>
        <v>2.5808720000000003</v>
      </c>
      <c r="U25" s="332">
        <f ca="1">INDEX(OFFSET('Financial stress'!$D$1:$W$1,$D25-1,0),MATCH(U$4,'Financial stress'!$D$10:$W$10,0))</f>
        <v>2.5445675000000003</v>
      </c>
      <c r="V25" s="332">
        <f ca="1">INDEX(OFFSET('Financial stress'!$D$1:$W$1,$D25-1,0),MATCH(V$4,'Financial stress'!$D$10:$W$10,0))</f>
        <v>2.5082629999999999</v>
      </c>
      <c r="W25" s="332">
        <f ca="1">INDEX(OFFSET('Financial stress'!$D$1:$W$1,$D25-1,0),MATCH(W$4,'Financial stress'!$D$10:$W$10,0))</f>
        <v>2.4719584999999999</v>
      </c>
      <c r="X25" s="332">
        <f ca="1">INDEX(OFFSET('Financial stress'!$D$1:$W$1,$D25-1,0),MATCH(X$4,'Financial stress'!$D$10:$W$10,0))</f>
        <v>2.435654</v>
      </c>
      <c r="Y25" s="271"/>
    </row>
    <row r="26" spans="1:25" x14ac:dyDescent="0.2">
      <c r="A26" s="271"/>
      <c r="B26" s="339"/>
      <c r="C26" s="337" t="s">
        <v>27</v>
      </c>
      <c r="D26" s="337"/>
      <c r="E26" s="341">
        <f>F26-1</f>
        <v>2022</v>
      </c>
      <c r="F26" s="342">
        <f>'Input data'!$C$5-1</f>
        <v>2023</v>
      </c>
      <c r="G26" s="342">
        <f>F26+1</f>
        <v>2024</v>
      </c>
      <c r="H26" s="342">
        <f t="shared" ref="H26:X26" si="2">G26+1</f>
        <v>2025</v>
      </c>
      <c r="I26" s="342">
        <f t="shared" si="2"/>
        <v>2026</v>
      </c>
      <c r="J26" s="342">
        <f t="shared" si="2"/>
        <v>2027</v>
      </c>
      <c r="K26" s="342">
        <f t="shared" si="2"/>
        <v>2028</v>
      </c>
      <c r="L26" s="342">
        <f t="shared" si="2"/>
        <v>2029</v>
      </c>
      <c r="M26" s="342">
        <f t="shared" si="2"/>
        <v>2030</v>
      </c>
      <c r="N26" s="342">
        <f t="shared" si="2"/>
        <v>2031</v>
      </c>
      <c r="O26" s="342">
        <f t="shared" si="2"/>
        <v>2032</v>
      </c>
      <c r="P26" s="342">
        <f t="shared" si="2"/>
        <v>2033</v>
      </c>
      <c r="Q26" s="342">
        <f t="shared" si="2"/>
        <v>2034</v>
      </c>
      <c r="R26" s="342">
        <f t="shared" si="2"/>
        <v>2035</v>
      </c>
      <c r="S26" s="342">
        <f t="shared" si="2"/>
        <v>2036</v>
      </c>
      <c r="T26" s="342">
        <f t="shared" si="2"/>
        <v>2037</v>
      </c>
      <c r="U26" s="342">
        <f t="shared" si="2"/>
        <v>2038</v>
      </c>
      <c r="V26" s="342">
        <f t="shared" si="2"/>
        <v>2039</v>
      </c>
      <c r="W26" s="342">
        <f t="shared" si="2"/>
        <v>2040</v>
      </c>
      <c r="X26" s="342">
        <f t="shared" si="2"/>
        <v>2041</v>
      </c>
      <c r="Y26" s="271"/>
    </row>
    <row r="27" spans="1:25" x14ac:dyDescent="0.2">
      <c r="A27" s="271"/>
      <c r="B27" s="339">
        <v>4</v>
      </c>
      <c r="C27" s="343" t="s">
        <v>219</v>
      </c>
      <c r="D27" s="344">
        <v>56</v>
      </c>
      <c r="E27" s="345" t="s">
        <v>220</v>
      </c>
      <c r="F27" s="332">
        <f ca="1">INDEX(OFFSET('Lower SPB'!$D$1:$W$1,$D27-1,0),MATCH(F$4,'Lower SPB'!$D$10:$W$10,0))</f>
        <v>77.284440321959977</v>
      </c>
      <c r="G27" s="332">
        <f ca="1">INDEX(OFFSET('Lower SPB'!$D$1:$W$1,$D27-1,0),MATCH(G$4,'Lower SPB'!$D$10:$W$10,0))</f>
        <v>70.579945075187567</v>
      </c>
      <c r="H27" s="332">
        <f ca="1">INDEX(OFFSET('Lower SPB'!$D$1:$W$1,$D27-1,0),MATCH(H$4,'Lower SPB'!$D$10:$W$10,0))</f>
        <v>65.467738950078513</v>
      </c>
      <c r="I27" s="332">
        <f ca="1">INDEX(OFFSET('Lower SPB'!$D$1:$W$1,$D27-1,0),MATCH(I$4,'Lower SPB'!$D$10:$W$10,0))</f>
        <v>59.99104804318636</v>
      </c>
      <c r="J27" s="332">
        <f ca="1">INDEX(OFFSET('Lower SPB'!$D$1:$W$1,$D27-1,0),MATCH(J$4,'Lower SPB'!$D$10:$W$10,0))</f>
        <v>55.344336413083951</v>
      </c>
      <c r="K27" s="332">
        <f ca="1">INDEX(OFFSET('Lower SPB'!$D$1:$W$1,$D27-1,0),MATCH(K$4,'Lower SPB'!$D$10:$W$10,0))</f>
        <v>50.929639670376446</v>
      </c>
      <c r="L27" s="332">
        <f ca="1">INDEX(OFFSET('Lower SPB'!$D$1:$W$1,$D27-1,0),MATCH(L$4,'Lower SPB'!$D$10:$W$10,0))</f>
        <v>46.561514451744912</v>
      </c>
      <c r="M27" s="332">
        <f ca="1">INDEX(OFFSET('Lower SPB'!$D$1:$W$1,$D27-1,0),MATCH(M$4,'Lower SPB'!$D$10:$W$10,0))</f>
        <v>42.813150325105646</v>
      </c>
      <c r="N27" s="332">
        <f ca="1">INDEX(OFFSET('Lower SPB'!$D$1:$W$1,$D27-1,0),MATCH(N$4,'Lower SPB'!$D$10:$W$10,0))</f>
        <v>39.568885298384252</v>
      </c>
      <c r="O27" s="332">
        <f ca="1">INDEX(OFFSET('Lower SPB'!$D$1:$W$1,$D27-1,0),MATCH(O$4,'Lower SPB'!$D$10:$W$10,0))</f>
        <v>36.65425959216202</v>
      </c>
      <c r="P27" s="332">
        <f ca="1">INDEX(OFFSET('Lower SPB'!$D$1:$W$1,$D27-1,0),MATCH(P$4,'Lower SPB'!$D$10:$W$10,0))</f>
        <v>34.076708532842318</v>
      </c>
      <c r="Q27" s="332">
        <f ca="1">INDEX(OFFSET('Lower SPB'!$D$1:$W$1,$D27-1,0),MATCH(Q$4,'Lower SPB'!$D$10:$W$10,0))</f>
        <v>31.649507138256368</v>
      </c>
      <c r="R27" s="332">
        <f ca="1">INDEX(OFFSET('Lower SPB'!$D$1:$W$1,$D27-1,0),MATCH(R$4,'Lower SPB'!$D$10:$W$10,0))</f>
        <v>29.467806872084694</v>
      </c>
      <c r="S27" s="332">
        <f ca="1">INDEX(OFFSET('Lower SPB'!$D$1:$W$1,$D27-1,0),MATCH(S$4,'Lower SPB'!$D$10:$W$10,0))</f>
        <v>27.46136270414971</v>
      </c>
      <c r="T27" s="332">
        <f ca="1">INDEX(OFFSET('Lower SPB'!$D$1:$W$1,$D27-1,0),MATCH(T$4,'Lower SPB'!$D$10:$W$10,0))</f>
        <v>25.589387189323805</v>
      </c>
      <c r="U27" s="332">
        <f ca="1">INDEX(OFFSET('Lower SPB'!$D$1:$W$1,$D27-1,0),MATCH(U$4,'Lower SPB'!$D$10:$W$10,0))</f>
        <v>23.851735531335326</v>
      </c>
      <c r="V27" s="332">
        <f ca="1">INDEX(OFFSET('Lower SPB'!$D$1:$W$1,$D27-1,0),MATCH(V$4,'Lower SPB'!$D$10:$W$10,0))</f>
        <v>21.936060365036866</v>
      </c>
      <c r="W27" s="332">
        <f ca="1">INDEX(OFFSET('Lower SPB'!$D$1:$W$1,$D27-1,0),MATCH(W$4,'Lower SPB'!$D$10:$W$10,0))</f>
        <v>20.229094672456554</v>
      </c>
      <c r="X27" s="332">
        <f ca="1">INDEX(OFFSET('Lower SPB'!$D$1:$W$1,$D27-1,0),MATCH(X$4,'Lower SPB'!$D$10:$W$10,0))</f>
        <v>18.579268429221493</v>
      </c>
      <c r="Y27" s="271"/>
    </row>
    <row r="28" spans="1:25" x14ac:dyDescent="0.2">
      <c r="A28" s="271"/>
      <c r="B28" s="339">
        <v>5</v>
      </c>
      <c r="C28" s="343" t="s">
        <v>40</v>
      </c>
      <c r="D28" s="344">
        <v>12</v>
      </c>
      <c r="E28" s="345" t="s">
        <v>222</v>
      </c>
      <c r="F28" s="332">
        <f ca="1">INDEX(OFFSET('Lower SPB'!$D$1:$W$1,$D28-1,0),MATCH(F$4,'Lower SPB'!$D$10:$W$10,0))</f>
        <v>3.2270470000000002</v>
      </c>
      <c r="G28" s="332">
        <f ca="1">INDEX(OFFSET('Lower SPB'!$D$1:$W$1,$D28-1,0),MATCH(G$4,'Lower SPB'!$D$10:$W$10,0))</f>
        <v>3.482405</v>
      </c>
      <c r="H28" s="332">
        <f ca="1">INDEX(OFFSET('Lower SPB'!$D$1:$W$1,$D28-1,0),MATCH(H$4,'Lower SPB'!$D$10:$W$10,0))</f>
        <v>3.482405</v>
      </c>
      <c r="I28" s="332">
        <f ca="1">INDEX(OFFSET('Lower SPB'!$D$1:$W$1,$D28-1,0),MATCH(I$4,'Lower SPB'!$D$10:$W$10,0))</f>
        <v>3.482405</v>
      </c>
      <c r="J28" s="332">
        <f ca="1">INDEX(OFFSET('Lower SPB'!$D$1:$W$1,$D28-1,0),MATCH(J$4,'Lower SPB'!$D$10:$W$10,0))</f>
        <v>3.482405</v>
      </c>
      <c r="K28" s="332">
        <f ca="1">INDEX(OFFSET('Lower SPB'!$D$1:$W$1,$D28-1,0),MATCH(K$4,'Lower SPB'!$D$10:$W$10,0))</f>
        <v>3.482405</v>
      </c>
      <c r="L28" s="332">
        <f ca="1">INDEX(OFFSET('Lower SPB'!$D$1:$W$1,$D28-1,0),MATCH(L$4,'Lower SPB'!$D$10:$W$10,0))</f>
        <v>3.232405</v>
      </c>
      <c r="M28" s="332">
        <f ca="1">INDEX(OFFSET('Lower SPB'!$D$1:$W$1,$D28-1,0),MATCH(M$4,'Lower SPB'!$D$10:$W$10,0))</f>
        <v>2.982405</v>
      </c>
      <c r="N28" s="332">
        <f ca="1">INDEX(OFFSET('Lower SPB'!$D$1:$W$1,$D28-1,0),MATCH(N$4,'Lower SPB'!$D$10:$W$10,0))</f>
        <v>2.982405</v>
      </c>
      <c r="O28" s="332">
        <f ca="1">INDEX(OFFSET('Lower SPB'!$D$1:$W$1,$D28-1,0),MATCH(O$4,'Lower SPB'!$D$10:$W$10,0))</f>
        <v>2.982405</v>
      </c>
      <c r="P28" s="332">
        <f ca="1">INDEX(OFFSET('Lower SPB'!$D$1:$W$1,$D28-1,0),MATCH(P$4,'Lower SPB'!$D$10:$W$10,0))</f>
        <v>2.982405</v>
      </c>
      <c r="Q28" s="332">
        <f ca="1">INDEX(OFFSET('Lower SPB'!$D$1:$W$1,$D28-1,0),MATCH(Q$4,'Lower SPB'!$D$10:$W$10,0))</f>
        <v>2.982405</v>
      </c>
      <c r="R28" s="332">
        <f ca="1">INDEX(OFFSET('Lower SPB'!$D$1:$W$1,$D28-1,0),MATCH(R$4,'Lower SPB'!$D$10:$W$10,0))</f>
        <v>2.982405</v>
      </c>
      <c r="S28" s="332">
        <f ca="1">INDEX(OFFSET('Lower SPB'!$D$1:$W$1,$D28-1,0),MATCH(S$4,'Lower SPB'!$D$10:$W$10,0))</f>
        <v>2.982405</v>
      </c>
      <c r="T28" s="332">
        <f ca="1">INDEX(OFFSET('Lower SPB'!$D$1:$W$1,$D28-1,0),MATCH(T$4,'Lower SPB'!$D$10:$W$10,0))</f>
        <v>2.982405</v>
      </c>
      <c r="U28" s="332">
        <f ca="1">INDEX(OFFSET('Lower SPB'!$D$1:$W$1,$D28-1,0),MATCH(U$4,'Lower SPB'!$D$10:$W$10,0))</f>
        <v>2.982405</v>
      </c>
      <c r="V28" s="332">
        <f ca="1">INDEX(OFFSET('Lower SPB'!$D$1:$W$1,$D28-1,0),MATCH(V$4,'Lower SPB'!$D$10:$W$10,0))</f>
        <v>2.982405</v>
      </c>
      <c r="W28" s="332">
        <f ca="1">INDEX(OFFSET('Lower SPB'!$D$1:$W$1,$D28-1,0),MATCH(W$4,'Lower SPB'!$D$10:$W$10,0))</f>
        <v>2.982405</v>
      </c>
      <c r="X28" s="332">
        <f ca="1">INDEX(OFFSET('Lower SPB'!$D$1:$W$1,$D28-1,0),MATCH(X$4,'Lower SPB'!$D$10:$W$10,0))</f>
        <v>2.982405</v>
      </c>
      <c r="Y28" s="271"/>
    </row>
    <row r="29" spans="1:25" x14ac:dyDescent="0.2">
      <c r="A29" s="271"/>
      <c r="B29" s="339"/>
      <c r="C29" s="337" t="s">
        <v>234</v>
      </c>
      <c r="D29" s="337"/>
      <c r="E29" s="341">
        <f>F29-1</f>
        <v>2022</v>
      </c>
      <c r="F29" s="342">
        <f>'Input data'!$C$5-1</f>
        <v>2023</v>
      </c>
      <c r="G29" s="342">
        <f>F29+1</f>
        <v>2024</v>
      </c>
      <c r="H29" s="342">
        <f t="shared" ref="H29:X29" si="3">G29+1</f>
        <v>2025</v>
      </c>
      <c r="I29" s="342">
        <f t="shared" si="3"/>
        <v>2026</v>
      </c>
      <c r="J29" s="342">
        <f t="shared" si="3"/>
        <v>2027</v>
      </c>
      <c r="K29" s="342">
        <f t="shared" si="3"/>
        <v>2028</v>
      </c>
      <c r="L29" s="342">
        <f t="shared" si="3"/>
        <v>2029</v>
      </c>
      <c r="M29" s="342">
        <f t="shared" si="3"/>
        <v>2030</v>
      </c>
      <c r="N29" s="342">
        <f t="shared" si="3"/>
        <v>2031</v>
      </c>
      <c r="O29" s="342">
        <f t="shared" si="3"/>
        <v>2032</v>
      </c>
      <c r="P29" s="342">
        <f t="shared" si="3"/>
        <v>2033</v>
      </c>
      <c r="Q29" s="342">
        <f t="shared" si="3"/>
        <v>2034</v>
      </c>
      <c r="R29" s="342">
        <f t="shared" si="3"/>
        <v>2035</v>
      </c>
      <c r="S29" s="342">
        <f t="shared" si="3"/>
        <v>2036</v>
      </c>
      <c r="T29" s="342">
        <f t="shared" si="3"/>
        <v>2037</v>
      </c>
      <c r="U29" s="342">
        <f t="shared" si="3"/>
        <v>2038</v>
      </c>
      <c r="V29" s="342">
        <f t="shared" si="3"/>
        <v>2039</v>
      </c>
      <c r="W29" s="342">
        <f t="shared" si="3"/>
        <v>2040</v>
      </c>
      <c r="X29" s="342">
        <f t="shared" si="3"/>
        <v>2041</v>
      </c>
      <c r="Y29" s="271"/>
    </row>
    <row r="30" spans="1:25" x14ac:dyDescent="0.2">
      <c r="A30" s="271"/>
      <c r="B30" s="339">
        <v>6</v>
      </c>
      <c r="C30" s="343" t="s">
        <v>219</v>
      </c>
      <c r="D30" s="344">
        <v>57</v>
      </c>
      <c r="E30" s="345" t="s">
        <v>220</v>
      </c>
      <c r="F30" s="332">
        <f ca="1">INDEX(OFFSET('Adverse (r-g)'!$D$1:$W$1,$D30-1,0),MATCH(F$4,'Adverse (r-g)'!$D$10:$W$10,0))</f>
        <v>77.284440321959977</v>
      </c>
      <c r="G30" s="332">
        <f ca="1">INDEX(OFFSET('Adverse (r-g)'!$D$1:$W$1,$D30-1,0),MATCH(G$4,'Adverse (r-g)'!$D$10:$W$10,0))</f>
        <v>70.579945075187567</v>
      </c>
      <c r="H30" s="332">
        <f ca="1">INDEX(OFFSET('Adverse (r-g)'!$D$1:$W$1,$D30-1,0),MATCH(H$4,'Adverse (r-g)'!$D$10:$W$10,0))</f>
        <v>65.467738950078513</v>
      </c>
      <c r="I30" s="332">
        <f ca="1">INDEX(OFFSET('Adverse (r-g)'!$D$1:$W$1,$D30-1,0),MATCH(I$4,'Adverse (r-g)'!$D$10:$W$10,0))</f>
        <v>59.99104804318636</v>
      </c>
      <c r="J30" s="332">
        <f ca="1">INDEX(OFFSET('Adverse (r-g)'!$D$1:$W$1,$D30-1,0),MATCH(J$4,'Adverse (r-g)'!$D$10:$W$10,0))</f>
        <v>55.344336413083951</v>
      </c>
      <c r="K30" s="332">
        <f ca="1">INDEX(OFFSET('Adverse (r-g)'!$D$1:$W$1,$D30-1,0),MATCH(K$4,'Adverse (r-g)'!$D$10:$W$10,0))</f>
        <v>50.929639670376446</v>
      </c>
      <c r="L30" s="332">
        <f ca="1">INDEX(OFFSET('Adverse (r-g)'!$D$1:$W$1,$D30-1,0),MATCH(L$4,'Adverse (r-g)'!$D$10:$W$10,0))</f>
        <v>46.770407165803704</v>
      </c>
      <c r="M30" s="332">
        <f ca="1">INDEX(OFFSET('Adverse (r-g)'!$D$1:$W$1,$D30-1,0),MATCH(M$4,'Adverse (r-g)'!$D$10:$W$10,0))</f>
        <v>43.000739439655369</v>
      </c>
      <c r="N30" s="332">
        <f ca="1">INDEX(OFFSET('Adverse (r-g)'!$D$1:$W$1,$D30-1,0),MATCH(N$4,'Adverse (r-g)'!$D$10:$W$10,0))</f>
        <v>39.573930780595369</v>
      </c>
      <c r="O30" s="332">
        <f ca="1">INDEX(OFFSET('Adverse (r-g)'!$D$1:$W$1,$D30-1,0),MATCH(O$4,'Adverse (r-g)'!$D$10:$W$10,0))</f>
        <v>36.419535848235981</v>
      </c>
      <c r="P30" s="332">
        <f ca="1">INDEX(OFFSET('Adverse (r-g)'!$D$1:$W$1,$D30-1,0),MATCH(P$4,'Adverse (r-g)'!$D$10:$W$10,0))</f>
        <v>33.53605662932501</v>
      </c>
      <c r="Q30" s="332">
        <f ca="1">INDEX(OFFSET('Adverse (r-g)'!$D$1:$W$1,$D30-1,0),MATCH(Q$4,'Adverse (r-g)'!$D$10:$W$10,0))</f>
        <v>30.82383259659192</v>
      </c>
      <c r="R30" s="332">
        <f ca="1">INDEX(OFFSET('Adverse (r-g)'!$D$1:$W$1,$D30-1,0),MATCH(R$4,'Adverse (r-g)'!$D$10:$W$10,0))</f>
        <v>28.341342255802221</v>
      </c>
      <c r="S30" s="332">
        <f ca="1">INDEX(OFFSET('Adverse (r-g)'!$D$1:$W$1,$D30-1,0),MATCH(S$4,'Adverse (r-g)'!$D$10:$W$10,0))</f>
        <v>26.020025641302034</v>
      </c>
      <c r="T30" s="332">
        <f ca="1">INDEX(OFFSET('Adverse (r-g)'!$D$1:$W$1,$D30-1,0),MATCH(T$4,'Adverse (r-g)'!$D$10:$W$10,0))</f>
        <v>23.820386623441227</v>
      </c>
      <c r="U30" s="332">
        <f ca="1">INDEX(OFFSET('Adverse (r-g)'!$D$1:$W$1,$D30-1,0),MATCH(U$4,'Adverse (r-g)'!$D$10:$W$10,0))</f>
        <v>21.742864204668575</v>
      </c>
      <c r="V30" s="332">
        <f ca="1">INDEX(OFFSET('Adverse (r-g)'!$D$1:$W$1,$D30-1,0),MATCH(V$4,'Adverse (r-g)'!$D$10:$W$10,0))</f>
        <v>19.475838819227501</v>
      </c>
      <c r="W30" s="332">
        <f ca="1">INDEX(OFFSET('Adverse (r-g)'!$D$1:$W$1,$D30-1,0),MATCH(W$4,'Adverse (r-g)'!$D$10:$W$10,0))</f>
        <v>17.40499483324998</v>
      </c>
      <c r="X30" s="332">
        <f ca="1">INDEX(OFFSET('Adverse (r-g)'!$D$1:$W$1,$D30-1,0),MATCH(X$4,'Adverse (r-g)'!$D$10:$W$10,0))</f>
        <v>15.378061651375193</v>
      </c>
      <c r="Y30" s="271"/>
    </row>
    <row r="31" spans="1:25" x14ac:dyDescent="0.2">
      <c r="A31" s="271"/>
      <c r="B31" s="339">
        <v>7</v>
      </c>
      <c r="C31" s="343" t="s">
        <v>94</v>
      </c>
      <c r="D31" s="344">
        <v>37</v>
      </c>
      <c r="E31" s="345" t="s">
        <v>226</v>
      </c>
      <c r="F31" s="332">
        <f ca="1">INDEX(OFFSET('Adverse (r-g)'!$D$1:$W$1,$D31-1,0),MATCH(F$4,'Adverse (r-g)'!$D$10:$W$10,0))</f>
        <v>3.91</v>
      </c>
      <c r="G31" s="332">
        <f ca="1">INDEX(OFFSET('Adverse (r-g)'!$D$1:$W$1,$D31-1,0),MATCH(G$4,'Adverse (r-g)'!$D$10:$W$10,0))</f>
        <v>3.3161689999999999</v>
      </c>
      <c r="H31" s="332">
        <f ca="1">INDEX(OFFSET('Adverse (r-g)'!$D$1:$W$1,$D31-1,0),MATCH(H$4,'Adverse (r-g)'!$D$10:$W$10,0))</f>
        <v>3.3153579999999998</v>
      </c>
      <c r="I31" s="332">
        <f ca="1">INDEX(OFFSET('Adverse (r-g)'!$D$1:$W$1,$D31-1,0),MATCH(I$4,'Adverse (r-g)'!$D$10:$W$10,0))</f>
        <v>3.381707</v>
      </c>
      <c r="J31" s="332">
        <f ca="1">INDEX(OFFSET('Adverse (r-g)'!$D$1:$W$1,$D31-1,0),MATCH(J$4,'Adverse (r-g)'!$D$10:$W$10,0))</f>
        <v>3.4480559999999998</v>
      </c>
      <c r="K31" s="332">
        <f ca="1">INDEX(OFFSET('Adverse (r-g)'!$D$1:$W$1,$D31-1,0),MATCH(K$4,'Adverse (r-g)'!$D$10:$W$10,0))</f>
        <v>3.514405</v>
      </c>
      <c r="L31" s="332">
        <f ca="1">INDEX(OFFSET('Adverse (r-g)'!$D$1:$W$1,$D31-1,0),MATCH(L$4,'Adverse (r-g)'!$D$10:$W$10,0))</f>
        <v>4.0807539999999998</v>
      </c>
      <c r="M31" s="332">
        <f ca="1">INDEX(OFFSET('Adverse (r-g)'!$D$1:$W$1,$D31-1,0),MATCH(M$4,'Adverse (r-g)'!$D$10:$W$10,0))</f>
        <v>4.1471029999999995</v>
      </c>
      <c r="N31" s="332">
        <f ca="1">INDEX(OFFSET('Adverse (r-g)'!$D$1:$W$1,$D31-1,0),MATCH(N$4,'Adverse (r-g)'!$D$10:$W$10,0))</f>
        <v>4.2134520000000002</v>
      </c>
      <c r="O31" s="332">
        <f ca="1">INDEX(OFFSET('Adverse (r-g)'!$D$1:$W$1,$D31-1,0),MATCH(O$4,'Adverse (r-g)'!$D$10:$W$10,0))</f>
        <v>4.279801</v>
      </c>
      <c r="P31" s="332">
        <f ca="1">INDEX(OFFSET('Adverse (r-g)'!$D$1:$W$1,$D31-1,0),MATCH(P$4,'Adverse (r-g)'!$D$10:$W$10,0))</f>
        <v>4.3461499999999997</v>
      </c>
      <c r="Q31" s="332">
        <f ca="1">INDEX(OFFSET('Adverse (r-g)'!$D$1:$W$1,$D31-1,0),MATCH(Q$4,'Adverse (r-g)'!$D$10:$W$10,0))</f>
        <v>4.3538425000000007</v>
      </c>
      <c r="R31" s="332">
        <f ca="1">INDEX(OFFSET('Adverse (r-g)'!$D$1:$W$1,$D31-1,0),MATCH(R$4,'Adverse (r-g)'!$D$10:$W$10,0))</f>
        <v>4.3615349999999999</v>
      </c>
      <c r="S31" s="332">
        <f ca="1">INDEX(OFFSET('Adverse (r-g)'!$D$1:$W$1,$D31-1,0),MATCH(S$4,'Adverse (r-g)'!$D$10:$W$10,0))</f>
        <v>4.3692275</v>
      </c>
      <c r="T31" s="332">
        <f ca="1">INDEX(OFFSET('Adverse (r-g)'!$D$1:$W$1,$D31-1,0),MATCH(T$4,'Adverse (r-g)'!$D$10:$W$10,0))</f>
        <v>4.3769200000000001</v>
      </c>
      <c r="U31" s="332">
        <f ca="1">INDEX(OFFSET('Adverse (r-g)'!$D$1:$W$1,$D31-1,0),MATCH(U$4,'Adverse (r-g)'!$D$10:$W$10,0))</f>
        <v>4.3846125000000002</v>
      </c>
      <c r="V31" s="332">
        <f ca="1">INDEX(OFFSET('Adverse (r-g)'!$D$1:$W$1,$D31-1,0),MATCH(V$4,'Adverse (r-g)'!$D$10:$W$10,0))</f>
        <v>4.3923050000000003</v>
      </c>
      <c r="W31" s="332">
        <f ca="1">INDEX(OFFSET('Adverse (r-g)'!$D$1:$W$1,$D31-1,0),MATCH(W$4,'Adverse (r-g)'!$D$10:$W$10,0))</f>
        <v>4.3999974999999996</v>
      </c>
      <c r="X31" s="332">
        <f ca="1">INDEX(OFFSET('Adverse (r-g)'!$D$1:$W$1,$D31-1,0),MATCH(X$4,'Adverse (r-g)'!$D$10:$W$10,0))</f>
        <v>4.4076900000000006</v>
      </c>
      <c r="Y31" s="271"/>
    </row>
    <row r="32" spans="1:25" x14ac:dyDescent="0.2">
      <c r="A32" s="271"/>
      <c r="B32" s="339">
        <v>8</v>
      </c>
      <c r="C32" s="343" t="s">
        <v>95</v>
      </c>
      <c r="D32" s="344">
        <v>38</v>
      </c>
      <c r="E32" s="345" t="s">
        <v>226</v>
      </c>
      <c r="F32" s="332">
        <f ca="1">INDEX(OFFSET('Adverse (r-g)'!$D$1:$W$1,$D32-1,0),MATCH(F$4,'Adverse (r-g)'!$D$10:$W$10,0))</f>
        <v>3.43</v>
      </c>
      <c r="G32" s="332">
        <f ca="1">INDEX(OFFSET('Adverse (r-g)'!$D$1:$W$1,$D32-1,0),MATCH(G$4,'Adverse (r-g)'!$D$10:$W$10,0))</f>
        <v>3.5642079999999998</v>
      </c>
      <c r="H32" s="332">
        <f ca="1">INDEX(OFFSET('Adverse (r-g)'!$D$1:$W$1,$D32-1,0),MATCH(H$4,'Adverse (r-g)'!$D$10:$W$10,0))</f>
        <v>2.8163749999999999</v>
      </c>
      <c r="I32" s="332">
        <f ca="1">INDEX(OFFSET('Adverse (r-g)'!$D$1:$W$1,$D32-1,0),MATCH(I$4,'Adverse (r-g)'!$D$10:$W$10,0))</f>
        <v>2.8050893749999997</v>
      </c>
      <c r="J32" s="332">
        <f ca="1">INDEX(OFFSET('Adverse (r-g)'!$D$1:$W$1,$D32-1,0),MATCH(J$4,'Adverse (r-g)'!$D$10:$W$10,0))</f>
        <v>2.7938037499999999</v>
      </c>
      <c r="K32" s="332">
        <f ca="1">INDEX(OFFSET('Adverse (r-g)'!$D$1:$W$1,$D32-1,0),MATCH(K$4,'Adverse (r-g)'!$D$10:$W$10,0))</f>
        <v>2.7825181250000002</v>
      </c>
      <c r="L32" s="332">
        <f ca="1">INDEX(OFFSET('Adverse (r-g)'!$D$1:$W$1,$D32-1,0),MATCH(L$4,'Adverse (r-g)'!$D$10:$W$10,0))</f>
        <v>3.2712325</v>
      </c>
      <c r="M32" s="332">
        <f ca="1">INDEX(OFFSET('Adverse (r-g)'!$D$1:$W$1,$D32-1,0),MATCH(M$4,'Adverse (r-g)'!$D$10:$W$10,0))</f>
        <v>3.2599468749999998</v>
      </c>
      <c r="N32" s="332">
        <f ca="1">INDEX(OFFSET('Adverse (r-g)'!$D$1:$W$1,$D32-1,0),MATCH(N$4,'Adverse (r-g)'!$D$10:$W$10,0))</f>
        <v>3.2486612500000001</v>
      </c>
      <c r="O32" s="332">
        <f ca="1">INDEX(OFFSET('Adverse (r-g)'!$D$1:$W$1,$D32-1,0),MATCH(O$4,'Adverse (r-g)'!$D$10:$W$10,0))</f>
        <v>3.2373756250000003</v>
      </c>
      <c r="P32" s="332">
        <f ca="1">INDEX(OFFSET('Adverse (r-g)'!$D$1:$W$1,$D32-1,0),MATCH(P$4,'Adverse (r-g)'!$D$10:$W$10,0))</f>
        <v>3.2260900000000001</v>
      </c>
      <c r="Q32" s="332">
        <f ca="1">INDEX(OFFSET('Adverse (r-g)'!$D$1:$W$1,$D32-1,0),MATCH(Q$4,'Adverse (r-g)'!$D$10:$W$10,0))</f>
        <v>3.1897855000000002</v>
      </c>
      <c r="R32" s="332">
        <f ca="1">INDEX(OFFSET('Adverse (r-g)'!$D$1:$W$1,$D32-1,0),MATCH(R$4,'Adverse (r-g)'!$D$10:$W$10,0))</f>
        <v>3.1534810000000002</v>
      </c>
      <c r="S32" s="332">
        <f ca="1">INDEX(OFFSET('Adverse (r-g)'!$D$1:$W$1,$D32-1,0),MATCH(S$4,'Adverse (r-g)'!$D$10:$W$10,0))</f>
        <v>3.1171765000000002</v>
      </c>
      <c r="T32" s="332">
        <f ca="1">INDEX(OFFSET('Adverse (r-g)'!$D$1:$W$1,$D32-1,0),MATCH(T$4,'Adverse (r-g)'!$D$10:$W$10,0))</f>
        <v>3.0808720000000003</v>
      </c>
      <c r="U32" s="332">
        <f ca="1">INDEX(OFFSET('Adverse (r-g)'!$D$1:$W$1,$D32-1,0),MATCH(U$4,'Adverse (r-g)'!$D$10:$W$10,0))</f>
        <v>3.0445675000000003</v>
      </c>
      <c r="V32" s="332">
        <f ca="1">INDEX(OFFSET('Adverse (r-g)'!$D$1:$W$1,$D32-1,0),MATCH(V$4,'Adverse (r-g)'!$D$10:$W$10,0))</f>
        <v>3.0082629999999999</v>
      </c>
      <c r="W32" s="332">
        <f ca="1">INDEX(OFFSET('Adverse (r-g)'!$D$1:$W$1,$D32-1,0),MATCH(W$4,'Adverse (r-g)'!$D$10:$W$10,0))</f>
        <v>2.9719584999999999</v>
      </c>
      <c r="X32" s="332">
        <f ca="1">INDEX(OFFSET('Adverse (r-g)'!$D$1:$W$1,$D32-1,0),MATCH(X$4,'Adverse (r-g)'!$D$10:$W$10,0))</f>
        <v>2.935654</v>
      </c>
      <c r="Y32" s="271"/>
    </row>
    <row r="33" spans="1:25" x14ac:dyDescent="0.2">
      <c r="A33" s="271"/>
      <c r="B33" s="339">
        <v>9</v>
      </c>
      <c r="C33" s="335" t="s">
        <v>230</v>
      </c>
      <c r="D33" s="344">
        <v>23</v>
      </c>
      <c r="E33" s="345" t="s">
        <v>229</v>
      </c>
      <c r="F33" s="332">
        <f ca="1">INDEX(OFFSET('Adverse (r-g)'!$D$1:$W$1,$D33-1,0),MATCH(F$4,'Adverse (r-g)'!$D$10:$W$10,0))</f>
        <v>2.461237000000005</v>
      </c>
      <c r="G33" s="332">
        <f ca="1">INDEX(OFFSET('Adverse (r-g)'!$D$1:$W$1,$D33-1,0),MATCH(G$4,'Adverse (r-g)'!$D$10:$W$10,0))</f>
        <v>2.7786169999999943</v>
      </c>
      <c r="H33" s="332">
        <f ca="1">INDEX(OFFSET('Adverse (r-g)'!$D$1:$W$1,$D33-1,0),MATCH(H$4,'Adverse (r-g)'!$D$10:$W$10,0))</f>
        <v>3.0115459999999983</v>
      </c>
      <c r="I33" s="332">
        <f ca="1">INDEX(OFFSET('Adverse (r-g)'!$D$1:$W$1,$D33-1,0),MATCH(I$4,'Adverse (r-g)'!$D$10:$W$10,0))</f>
        <v>2.1985469999999951</v>
      </c>
      <c r="J33" s="332">
        <f ca="1">INDEX(OFFSET('Adverse (r-g)'!$D$1:$W$1,$D33-1,0),MATCH(J$4,'Adverse (r-g)'!$D$10:$W$10,0))</f>
        <v>1.541576999999994</v>
      </c>
      <c r="K33" s="332">
        <f ca="1">INDEX(OFFSET('Adverse (r-g)'!$D$1:$W$1,$D33-1,0),MATCH(K$4,'Adverse (r-g)'!$D$10:$W$10,0))</f>
        <v>1.5989309999999923</v>
      </c>
      <c r="L33" s="332">
        <f ca="1">INDEX(OFFSET('Adverse (r-g)'!$D$1:$W$1,$D33-1,0),MATCH(L$4,'Adverse (r-g)'!$D$10:$W$10,0))</f>
        <v>1.1630260000000003</v>
      </c>
      <c r="M33" s="332">
        <f ca="1">INDEX(OFFSET('Adverse (r-g)'!$D$1:$W$1,$D33-1,0),MATCH(M$4,'Adverse (r-g)'!$D$10:$W$10,0))</f>
        <v>1.0770960000000107</v>
      </c>
      <c r="N33" s="332">
        <f ca="1">INDEX(OFFSET('Adverse (r-g)'!$D$1:$W$1,$D33-1,0),MATCH(N$4,'Adverse (r-g)'!$D$10:$W$10,0))</f>
        <v>1.025100000000001</v>
      </c>
      <c r="O33" s="332">
        <f ca="1">INDEX(OFFSET('Adverse (r-g)'!$D$1:$W$1,$D33-1,0),MATCH(O$4,'Adverse (r-g)'!$D$10:$W$10,0))</f>
        <v>0.99967100000000197</v>
      </c>
      <c r="P33" s="332">
        <f ca="1">INDEX(OFFSET('Adverse (r-g)'!$D$1:$W$1,$D33-1,0),MATCH(P$4,'Adverse (r-g)'!$D$10:$W$10,0))</f>
        <v>0.9724510000000075</v>
      </c>
      <c r="Q33" s="332">
        <f ca="1">INDEX(OFFSET('Adverse (r-g)'!$D$1:$W$1,$D33-1,0),MATCH(Q$4,'Adverse (r-g)'!$D$10:$W$10,0))</f>
        <v>1.0369169999999928</v>
      </c>
      <c r="R33" s="332">
        <f ca="1">INDEX(OFFSET('Adverse (r-g)'!$D$1:$W$1,$D33-1,0),MATCH(R$4,'Adverse (r-g)'!$D$10:$W$10,0))</f>
        <v>1.1013869999999981</v>
      </c>
      <c r="S33" s="332">
        <f ca="1">INDEX(OFFSET('Adverse (r-g)'!$D$1:$W$1,$D33-1,0),MATCH(S$4,'Adverse (r-g)'!$D$10:$W$10,0))</f>
        <v>1.1658570000000035</v>
      </c>
      <c r="T33" s="332">
        <f ca="1">INDEX(OFFSET('Adverse (r-g)'!$D$1:$W$1,$D33-1,0),MATCH(T$4,'Adverse (r-g)'!$D$10:$W$10,0))</f>
        <v>1.2527699999999919</v>
      </c>
      <c r="U33" s="332">
        <f ca="1">INDEX(OFFSET('Adverse (r-g)'!$D$1:$W$1,$D33-1,0),MATCH(U$4,'Adverse (r-g)'!$D$10:$W$10,0))</f>
        <v>1.3069420000000109</v>
      </c>
      <c r="V33" s="332">
        <f ca="1">INDEX(OFFSET('Adverse (r-g)'!$D$1:$W$1,$D33-1,0),MATCH(V$4,'Adverse (r-g)'!$D$10:$W$10,0))</f>
        <v>1.372488000000005</v>
      </c>
      <c r="W33" s="332">
        <f ca="1">INDEX(OFFSET('Adverse (r-g)'!$D$1:$W$1,$D33-1,0),MATCH(W$4,'Adverse (r-g)'!$D$10:$W$10,0))</f>
        <v>1.4423070000000093</v>
      </c>
      <c r="X33" s="332">
        <f ca="1">INDEX(OFFSET('Adverse (r-g)'!$D$1:$W$1,$D33-1,0),MATCH(X$4,'Adverse (r-g)'!$D$10:$W$10,0))</f>
        <v>1.4095039999999948</v>
      </c>
      <c r="Y33" s="271"/>
    </row>
    <row r="34" spans="1:25" x14ac:dyDescent="0.2">
      <c r="A34" s="271"/>
      <c r="B34" s="339">
        <v>10</v>
      </c>
      <c r="C34" s="347" t="s">
        <v>62</v>
      </c>
      <c r="D34" s="344">
        <v>27</v>
      </c>
      <c r="E34" s="345" t="s">
        <v>229</v>
      </c>
      <c r="F34" s="332">
        <f ca="1">(INDEX(OFFSET('Adverse (r-g)'!$D$1:$W$1,$D34-1,0),MATCH(F$4,'Adverse (r-g)'!$D$10:$W$10,0))/INDEX(OFFSET('Adverse (r-g)'!$D$1:$W$1,$D34-1,0),MATCH(E$4,'Adverse (r-g)'!$D$10:$W$10,0))-1)*100</f>
        <v>4.0714319999999971</v>
      </c>
      <c r="G34" s="332">
        <f ca="1">(INDEX(OFFSET('Adverse (r-g)'!$D$1:$W$1,$D34-1,0),MATCH(G$4,'Adverse (r-g)'!$D$10:$W$10,0))/INDEX(OFFSET('Adverse (r-g)'!$D$1:$W$1,$D34-1,0),MATCH(F$4,'Adverse (r-g)'!$D$10:$W$10,0))-1)*100</f>
        <v>3.7461809999999929</v>
      </c>
      <c r="H34" s="332">
        <f ca="1">(INDEX(OFFSET('Adverse (r-g)'!$D$1:$W$1,$D34-1,0),MATCH(H$4,'Adverse (r-g)'!$D$10:$W$10,0))/INDEX(OFFSET('Adverse (r-g)'!$D$1:$W$1,$D34-1,0),MATCH(G$4,'Adverse (r-g)'!$D$10:$W$10,0))-1)*100</f>
        <v>3.5384190000000038</v>
      </c>
      <c r="I34" s="332">
        <f ca="1">(INDEX(OFFSET('Adverse (r-g)'!$D$1:$W$1,$D34-1,0),MATCH(I$4,'Adverse (r-g)'!$D$10:$W$10,0))/INDEX(OFFSET('Adverse (r-g)'!$D$1:$W$1,$D34-1,0),MATCH(H$4,'Adverse (r-g)'!$D$10:$W$10,0))-1)*100</f>
        <v>2.570446000000004</v>
      </c>
      <c r="J34" s="332">
        <f ca="1">(INDEX(OFFSET('Adverse (r-g)'!$D$1:$W$1,$D34-1,0),MATCH(J$4,'Adverse (r-g)'!$D$10:$W$10,0))/INDEX(OFFSET('Adverse (r-g)'!$D$1:$W$1,$D34-1,0),MATCH(I$4,'Adverse (r-g)'!$D$10:$W$10,0))-1)*100</f>
        <v>2.0366660000000092</v>
      </c>
      <c r="K34" s="332">
        <f ca="1">(INDEX(OFFSET('Adverse (r-g)'!$D$1:$W$1,$D34-1,0),MATCH(K$4,'Adverse (r-g)'!$D$10:$W$10,0))/INDEX(OFFSET('Adverse (r-g)'!$D$1:$W$1,$D34-1,0),MATCH(J$4,'Adverse (r-g)'!$D$10:$W$10,0))-1)*100</f>
        <v>1.8472189999999999</v>
      </c>
      <c r="L34" s="332">
        <f ca="1">(INDEX(OFFSET('Adverse (r-g)'!$D$1:$W$1,$D34-1,0),MATCH(L$4,'Adverse (r-g)'!$D$10:$W$10,0))/INDEX(OFFSET('Adverse (r-g)'!$D$1:$W$1,$D34-1,0),MATCH(K$4,'Adverse (r-g)'!$D$10:$W$10,0))-1)*100</f>
        <v>1.1630260000000003</v>
      </c>
      <c r="M34" s="332">
        <f ca="1">(INDEX(OFFSET('Adverse (r-g)'!$D$1:$W$1,$D34-1,0),MATCH(M$4,'Adverse (r-g)'!$D$10:$W$10,0))/INDEX(OFFSET('Adverse (r-g)'!$D$1:$W$1,$D34-1,0),MATCH(L$4,'Adverse (r-g)'!$D$10:$W$10,0))-1)*100</f>
        <v>1.0770940000000007</v>
      </c>
      <c r="N34" s="332">
        <f ca="1">(INDEX(OFFSET('Adverse (r-g)'!$D$1:$W$1,$D34-1,0),MATCH(N$4,'Adverse (r-g)'!$D$10:$W$10,0))/INDEX(OFFSET('Adverse (r-g)'!$D$1:$W$1,$D34-1,0),MATCH(M$4,'Adverse (r-g)'!$D$10:$W$10,0))-1)*100</f>
        <v>1.025100000000001</v>
      </c>
      <c r="O34" s="332">
        <f ca="1">(INDEX(OFFSET('Adverse (r-g)'!$D$1:$W$1,$D34-1,0),MATCH(O$4,'Adverse (r-g)'!$D$10:$W$10,0))/INDEX(OFFSET('Adverse (r-g)'!$D$1:$W$1,$D34-1,0),MATCH(N$4,'Adverse (r-g)'!$D$10:$W$10,0))-1)*100</f>
        <v>0.99967300000001202</v>
      </c>
      <c r="P34" s="332">
        <f ca="1">(INDEX(OFFSET('Adverse (r-g)'!$D$1:$W$1,$D34-1,0),MATCH(P$4,'Adverse (r-g)'!$D$10:$W$10,0))/INDEX(OFFSET('Adverse (r-g)'!$D$1:$W$1,$D34-1,0),MATCH(O$4,'Adverse (r-g)'!$D$10:$W$10,0))-1)*100</f>
        <v>0.97244900000001966</v>
      </c>
      <c r="Q34" s="332">
        <f ca="1">(INDEX(OFFSET('Adverse (r-g)'!$D$1:$W$1,$D34-1,0),MATCH(Q$4,'Adverse (r-g)'!$D$10:$W$10,0))/INDEX(OFFSET('Adverse (r-g)'!$D$1:$W$1,$D34-1,0),MATCH(P$4,'Adverse (r-g)'!$D$10:$W$10,0))-1)*100</f>
        <v>1.0369190000000028</v>
      </c>
      <c r="R34" s="332">
        <f ca="1">(INDEX(OFFSET('Adverse (r-g)'!$D$1:$W$1,$D34-1,0),MATCH(R$4,'Adverse (r-g)'!$D$10:$W$10,0))/INDEX(OFFSET('Adverse (r-g)'!$D$1:$W$1,$D34-1,0),MATCH(Q$4,'Adverse (r-g)'!$D$10:$W$10,0))-1)*100</f>
        <v>1.1013900000000021</v>
      </c>
      <c r="S34" s="332">
        <f ca="1">(INDEX(OFFSET('Adverse (r-g)'!$D$1:$W$1,$D34-1,0),MATCH(S$4,'Adverse (r-g)'!$D$10:$W$10,0))/INDEX(OFFSET('Adverse (r-g)'!$D$1:$W$1,$D34-1,0),MATCH(R$4,'Adverse (r-g)'!$D$10:$W$10,0))-1)*100</f>
        <v>1.1658600000000074</v>
      </c>
      <c r="T34" s="332">
        <f ca="1">(INDEX(OFFSET('Adverse (r-g)'!$D$1:$W$1,$D34-1,0),MATCH(T$4,'Adverse (r-g)'!$D$10:$W$10,0))/INDEX(OFFSET('Adverse (r-g)'!$D$1:$W$1,$D34-1,0),MATCH(S$4,'Adverse (r-g)'!$D$10:$W$10,0))-1)*100</f>
        <v>1.2527730000000181</v>
      </c>
      <c r="U34" s="332">
        <f ca="1">(INDEX(OFFSET('Adverse (r-g)'!$D$1:$W$1,$D34-1,0),MATCH(U$4,'Adverse (r-g)'!$D$10:$W$10,0))/INDEX(OFFSET('Adverse (r-g)'!$D$1:$W$1,$D34-1,0),MATCH(T$4,'Adverse (r-g)'!$D$10:$W$10,0))-1)*100</f>
        <v>1.3069409999999948</v>
      </c>
      <c r="V34" s="332">
        <f ca="1">(INDEX(OFFSET('Adverse (r-g)'!$D$1:$W$1,$D34-1,0),MATCH(V$4,'Adverse (r-g)'!$D$10:$W$10,0))/INDEX(OFFSET('Adverse (r-g)'!$D$1:$W$1,$D34-1,0),MATCH(U$4,'Adverse (r-g)'!$D$10:$W$10,0))-1)*100</f>
        <v>1.3724840000000071</v>
      </c>
      <c r="W34" s="332">
        <f ca="1">(INDEX(OFFSET('Adverse (r-g)'!$D$1:$W$1,$D34-1,0),MATCH(W$4,'Adverse (r-g)'!$D$10:$W$10,0))/INDEX(OFFSET('Adverse (r-g)'!$D$1:$W$1,$D34-1,0),MATCH(V$4,'Adverse (r-g)'!$D$10:$W$10,0))-1)*100</f>
        <v>1.4423070000000093</v>
      </c>
      <c r="X34" s="332">
        <f ca="1">(INDEX(OFFSET('Adverse (r-g)'!$D$1:$W$1,$D34-1,0),MATCH(X$4,'Adverse (r-g)'!$D$10:$W$10,0))/INDEX(OFFSET('Adverse (r-g)'!$D$1:$W$1,$D34-1,0),MATCH(W$4,'Adverse (r-g)'!$D$10:$W$10,0))-1)*100</f>
        <v>1.4095050000000109</v>
      </c>
      <c r="Y34" s="271"/>
    </row>
    <row r="35" spans="1:25" x14ac:dyDescent="0.2">
      <c r="A35" s="271"/>
      <c r="B35" s="339"/>
      <c r="C35" s="337" t="s">
        <v>235</v>
      </c>
      <c r="D35" s="337"/>
      <c r="E35" s="341">
        <f>F35-1</f>
        <v>2032</v>
      </c>
      <c r="F35" s="350">
        <f>'Input data'!$C$6+5</f>
        <v>2033</v>
      </c>
      <c r="G35" s="271"/>
      <c r="H35" s="271"/>
      <c r="I35" s="271"/>
      <c r="J35" s="271"/>
      <c r="K35" s="271"/>
      <c r="L35" s="271"/>
      <c r="M35" s="271"/>
      <c r="N35" s="271"/>
      <c r="O35" s="271"/>
      <c r="P35" s="271"/>
      <c r="Q35" s="271"/>
      <c r="R35" s="271"/>
      <c r="S35" s="271"/>
      <c r="T35" s="271"/>
      <c r="U35" s="271"/>
      <c r="V35" s="271"/>
      <c r="W35" s="271"/>
      <c r="X35" s="271"/>
      <c r="Y35" s="271"/>
    </row>
    <row r="36" spans="1:25" x14ac:dyDescent="0.2">
      <c r="A36" s="271"/>
      <c r="B36" s="339">
        <v>11</v>
      </c>
      <c r="C36" s="343" t="s">
        <v>236</v>
      </c>
      <c r="D36" s="356" t="s">
        <v>240</v>
      </c>
      <c r="E36" s="345" t="s">
        <v>226</v>
      </c>
      <c r="F36" s="332">
        <f ca="1">IF(ISERROR(I36),"&lt;10",IF(I36=5,"90&lt;",V36+(H36-W36)*$T$36))</f>
        <v>85.446500478198416</v>
      </c>
      <c r="G36" s="362"/>
      <c r="H36" s="352">
        <f>INDEX(Stochastic!$C$11:$W$11,MATCH('Input data'!$C$6,Stochastic!$C$10:$W$10,0))</f>
        <v>50.929639670376446</v>
      </c>
      <c r="I36" s="353">
        <f ca="1">MATCH($H$36,OFFSET(Stochastic!$F$14:$F$18,0,'Input data'!$C$6-'Input data'!$C$5+5),1)</f>
        <v>4</v>
      </c>
      <c r="J36" s="353" t="str" cm="1">
        <f t="array" aca="1" ref="J36" ca="1">MID(INDEX(Stochastic!$B$14:$B$18,$I$36),2,2)</f>
        <v>70</v>
      </c>
      <c r="K36" s="352" cm="1">
        <f t="array" aca="1" ref="K36" ca="1">INDEX(OFFSET(Stochastic!$F$14:$F$18,0,'Input data'!$C$6-'Input data'!$C$5+5),$I$36)</f>
        <v>41.11089979626346</v>
      </c>
      <c r="L36" s="353" t="str" cm="1">
        <f t="array" aca="1" ref="L36" ca="1">MID(INDEX(Stochastic!$B$14:$B$18,$I$36+1),2,2)</f>
        <v>90</v>
      </c>
      <c r="M36" s="352" cm="1">
        <f t="array" aca="1" ref="M36" ca="1">INDEX(OFFSET(Stochastic!$F$14:$F$18,0,'Input data'!$C$6-'Input data'!$C$5+5),$I$36+1)</f>
        <v>53.82412229992557</v>
      </c>
      <c r="N36" s="352"/>
      <c r="O36" s="353">
        <f ca="1">IF(ISERROR($I$36),1,4)</f>
        <v>4</v>
      </c>
      <c r="P36" s="353">
        <f ca="1">IF(ISERROR($I$36),10,70)</f>
        <v>70</v>
      </c>
      <c r="Q36" s="352" cm="1">
        <f t="array" aca="1" ref="Q36" ca="1">INDEX(OFFSET(Stochastic!$F$14:$F$18,0,'Input data'!$C$6-'Input data'!$C$5+5),$O$36)</f>
        <v>41.11089979626346</v>
      </c>
      <c r="R36" s="353">
        <f ca="1">P36+20</f>
        <v>90</v>
      </c>
      <c r="S36" s="352" cm="1">
        <f t="array" aca="1" ref="S36" ca="1">INDEX(OFFSET(Stochastic!$F$14:$F$18,0,'Input data'!$C$6-'Input data'!$C$5+5),$O$36+1)</f>
        <v>53.82412229992557</v>
      </c>
      <c r="T36" s="357">
        <f ca="1">IF($I$36=5,20/(S36-Q36),IF(ISERROR($I$36),20/(S36-Q36),20/(M36-K36)))</f>
        <v>1.5731652611475098</v>
      </c>
      <c r="U36" s="109"/>
      <c r="V36" s="363" t="str">
        <f ca="1">IFERROR($J$36,10)</f>
        <v>70</v>
      </c>
      <c r="W36" s="364">
        <f ca="1">IF($V$36=10,$Q$36,$K$36)</f>
        <v>41.11089979626346</v>
      </c>
      <c r="X36" s="363"/>
      <c r="Y36" s="109"/>
    </row>
    <row r="37" spans="1:25" x14ac:dyDescent="0.2">
      <c r="A37" s="271"/>
      <c r="B37" s="333"/>
      <c r="C37" s="354"/>
      <c r="D37" s="354"/>
      <c r="E37" s="354"/>
      <c r="F37" s="354"/>
      <c r="G37" s="354"/>
      <c r="H37" s="354"/>
      <c r="I37" s="354"/>
      <c r="J37" s="354"/>
      <c r="K37" s="271"/>
      <c r="L37" s="271"/>
      <c r="M37" s="271"/>
      <c r="N37" s="271"/>
      <c r="O37" s="271"/>
      <c r="P37" s="271"/>
      <c r="Q37" s="362"/>
      <c r="R37" s="362"/>
      <c r="S37" s="362"/>
      <c r="T37" s="362"/>
      <c r="U37" s="362"/>
      <c r="V37" s="362"/>
      <c r="W37" s="271"/>
      <c r="X37" s="271"/>
      <c r="Y37" s="271"/>
    </row>
    <row r="38" spans="1:25" x14ac:dyDescent="0.2">
      <c r="A38" s="271"/>
      <c r="B38" s="355"/>
      <c r="C38" s="337" t="s">
        <v>237</v>
      </c>
      <c r="D38" s="338"/>
      <c r="E38" s="338"/>
      <c r="F38" s="349"/>
      <c r="G38" s="271"/>
      <c r="H38" s="271"/>
      <c r="I38" s="271"/>
      <c r="J38" s="271"/>
      <c r="K38" s="271"/>
      <c r="L38" s="271"/>
      <c r="M38" s="271"/>
      <c r="N38" s="271"/>
      <c r="O38" s="271"/>
      <c r="P38" s="271"/>
      <c r="Q38" s="271"/>
      <c r="R38" s="271"/>
      <c r="S38" s="271"/>
      <c r="T38" s="271"/>
      <c r="U38" s="271"/>
      <c r="V38" s="271"/>
      <c r="W38" s="271"/>
      <c r="X38" s="271"/>
      <c r="Y38" s="271"/>
    </row>
    <row r="39" spans="1:25" x14ac:dyDescent="0.2">
      <c r="A39" s="271"/>
      <c r="B39" s="333"/>
      <c r="C39" s="354"/>
      <c r="D39" s="354"/>
      <c r="E39" s="354"/>
      <c r="F39" s="354"/>
      <c r="G39" s="354"/>
      <c r="H39" s="354"/>
      <c r="I39" s="354"/>
      <c r="J39" s="354"/>
      <c r="K39" s="271"/>
      <c r="L39" s="271"/>
      <c r="M39" s="271"/>
      <c r="N39" s="271"/>
      <c r="O39" s="271"/>
      <c r="P39" s="271"/>
      <c r="Q39" s="271"/>
      <c r="R39" s="271"/>
      <c r="S39" s="271"/>
      <c r="T39" s="271"/>
      <c r="U39" s="271"/>
      <c r="V39" s="271"/>
      <c r="W39" s="271"/>
      <c r="X39" s="271"/>
      <c r="Y39" s="271"/>
    </row>
    <row r="40" spans="1:25" x14ac:dyDescent="0.2">
      <c r="A40" s="271"/>
      <c r="B40" s="339"/>
      <c r="C40" s="337"/>
      <c r="D40" s="337"/>
      <c r="E40" s="342"/>
      <c r="F40" s="342">
        <f>'Input data'!$C$5-1</f>
        <v>2023</v>
      </c>
      <c r="G40" s="342">
        <f>F40+1</f>
        <v>2024</v>
      </c>
      <c r="H40" s="342">
        <f t="shared" ref="H40:X40" si="4">G40+1</f>
        <v>2025</v>
      </c>
      <c r="I40" s="342">
        <f t="shared" si="4"/>
        <v>2026</v>
      </c>
      <c r="J40" s="342">
        <f t="shared" si="4"/>
        <v>2027</v>
      </c>
      <c r="K40" s="342">
        <f t="shared" si="4"/>
        <v>2028</v>
      </c>
      <c r="L40" s="342">
        <f t="shared" si="4"/>
        <v>2029</v>
      </c>
      <c r="M40" s="342">
        <f t="shared" si="4"/>
        <v>2030</v>
      </c>
      <c r="N40" s="342">
        <f t="shared" si="4"/>
        <v>2031</v>
      </c>
      <c r="O40" s="342">
        <f t="shared" si="4"/>
        <v>2032</v>
      </c>
      <c r="P40" s="342">
        <f t="shared" si="4"/>
        <v>2033</v>
      </c>
      <c r="Q40" s="342">
        <f t="shared" si="4"/>
        <v>2034</v>
      </c>
      <c r="R40" s="342">
        <f t="shared" si="4"/>
        <v>2035</v>
      </c>
      <c r="S40" s="342">
        <f t="shared" si="4"/>
        <v>2036</v>
      </c>
      <c r="T40" s="342">
        <f t="shared" si="4"/>
        <v>2037</v>
      </c>
      <c r="U40" s="342">
        <f t="shared" si="4"/>
        <v>2038</v>
      </c>
      <c r="V40" s="342">
        <f t="shared" si="4"/>
        <v>2039</v>
      </c>
      <c r="W40" s="342">
        <f t="shared" si="4"/>
        <v>2040</v>
      </c>
      <c r="X40" s="342">
        <f t="shared" si="4"/>
        <v>2041</v>
      </c>
      <c r="Y40" s="271"/>
    </row>
    <row r="41" spans="1:25" x14ac:dyDescent="0.2">
      <c r="A41" s="271"/>
      <c r="B41" s="339">
        <v>1</v>
      </c>
      <c r="C41" s="343" t="s">
        <v>219</v>
      </c>
      <c r="D41" s="344">
        <v>56</v>
      </c>
      <c r="E41" s="345" t="s">
        <v>220</v>
      </c>
      <c r="F41" s="332">
        <f ca="1">INDEX(OFFSET('Baseline NFPC'!$D$1:$W$1,$D41-1,0),MATCH(F$4,'Baseline NFPC'!$D$10:$W$10,0))</f>
        <v>77.284440321959977</v>
      </c>
      <c r="G41" s="332">
        <f ca="1">INDEX(OFFSET('Baseline NFPC'!$D$1:$W$1,$D41-1,0),MATCH(G$4,'Baseline NFPC'!$D$10:$W$10,0))</f>
        <v>70.579945075187567</v>
      </c>
      <c r="H41" s="332">
        <f ca="1">INDEX(OFFSET('Baseline NFPC'!$D$1:$W$1,$D41-1,0),MATCH(H$4,'Baseline NFPC'!$D$10:$W$10,0))</f>
        <v>65.810346550078521</v>
      </c>
      <c r="I41" s="332">
        <f ca="1">INDEX(OFFSET('Baseline NFPC'!$D$1:$W$1,$D41-1,0),MATCH(I$4,'Baseline NFPC'!$D$10:$W$10,0))</f>
        <v>60.945028545249919</v>
      </c>
      <c r="J41" s="332">
        <f ca="1">INDEX(OFFSET('Baseline NFPC'!$D$1:$W$1,$D41-1,0),MATCH(J$4,'Baseline NFPC'!$D$10:$W$10,0))</f>
        <v>57.091444398729493</v>
      </c>
      <c r="K41" s="332">
        <f ca="1">INDEX(OFFSET('Baseline NFPC'!$D$1:$W$1,$D41-1,0),MATCH(K$4,'Baseline NFPC'!$D$10:$W$10,0))</f>
        <v>53.609384153841056</v>
      </c>
      <c r="L41" s="332">
        <f ca="1">INDEX(OFFSET('Baseline NFPC'!$D$1:$W$1,$D41-1,0),MATCH(L$4,'Baseline NFPC'!$D$10:$W$10,0))</f>
        <v>50.102591426698453</v>
      </c>
      <c r="M41" s="332">
        <f ca="1">INDEX(OFFSET('Baseline NFPC'!$D$1:$W$1,$D41-1,0),MATCH(M$4,'Baseline NFPC'!$D$10:$W$10,0))</f>
        <v>46.989598699815112</v>
      </c>
      <c r="N41" s="332">
        <f ca="1">INDEX(OFFSET('Baseline NFPC'!$D$1:$W$1,$D41-1,0),MATCH(N$4,'Baseline NFPC'!$D$10:$W$10,0))</f>
        <v>44.228540271391957</v>
      </c>
      <c r="O41" s="332">
        <f ca="1">INDEX(OFFSET('Baseline NFPC'!$D$1:$W$1,$D41-1,0),MATCH(O$4,'Baseline NFPC'!$D$10:$W$10,0))</f>
        <v>41.749136091509243</v>
      </c>
      <c r="P41" s="332">
        <f ca="1">INDEX(OFFSET('Baseline NFPC'!$D$1:$W$1,$D41-1,0),MATCH(P$4,'Baseline NFPC'!$D$10:$W$10,0))</f>
        <v>39.558760359080487</v>
      </c>
      <c r="Q41" s="332">
        <f ca="1">INDEX(OFFSET('Baseline NFPC'!$D$1:$W$1,$D41-1,0),MATCH(Q$4,'Baseline NFPC'!$D$10:$W$10,0))</f>
        <v>37.5543764703527</v>
      </c>
      <c r="R41" s="332">
        <f ca="1">INDEX(OFFSET('Baseline NFPC'!$D$1:$W$1,$D41-1,0),MATCH(R$4,'Baseline NFPC'!$D$10:$W$10,0))</f>
        <v>35.79319568969602</v>
      </c>
      <c r="S41" s="332">
        <f ca="1">INDEX(OFFSET('Baseline NFPC'!$D$1:$W$1,$D41-1,0),MATCH(S$4,'Baseline NFPC'!$D$10:$W$10,0))</f>
        <v>34.204654255484357</v>
      </c>
      <c r="T41" s="332">
        <f ca="1">INDEX(OFFSET('Baseline NFPC'!$D$1:$W$1,$D41-1,0),MATCH(T$4,'Baseline NFPC'!$D$10:$W$10,0))</f>
        <v>32.746179610617361</v>
      </c>
      <c r="U41" s="332">
        <f ca="1">INDEX(OFFSET('Baseline NFPC'!$D$1:$W$1,$D41-1,0),MATCH(U$4,'Baseline NFPC'!$D$10:$W$10,0))</f>
        <v>31.419467487426868</v>
      </c>
      <c r="V41" s="332">
        <f ca="1">INDEX(OFFSET('Baseline NFPC'!$D$1:$W$1,$D41-1,0),MATCH(V$4,'Baseline NFPC'!$D$10:$W$10,0))</f>
        <v>29.911113534035817</v>
      </c>
      <c r="W41" s="332">
        <f ca="1">INDEX(OFFSET('Baseline NFPC'!$D$1:$W$1,$D41-1,0),MATCH(W$4,'Baseline NFPC'!$D$10:$W$10,0))</f>
        <v>28.607281138326304</v>
      </c>
      <c r="X41" s="332">
        <f ca="1">INDEX(OFFSET('Baseline NFPC'!$D$1:$W$1,$D41-1,0),MATCH(X$4,'Baseline NFPC'!$D$10:$W$10,0))</f>
        <v>27.364483950352131</v>
      </c>
      <c r="Y41" s="271"/>
    </row>
    <row r="42" spans="1:25" x14ac:dyDescent="0.2">
      <c r="A42" s="271"/>
      <c r="B42" s="339">
        <v>2</v>
      </c>
      <c r="C42" s="343" t="s">
        <v>221</v>
      </c>
      <c r="D42" s="344">
        <v>76</v>
      </c>
      <c r="E42" s="345" t="s">
        <v>220</v>
      </c>
      <c r="F42" s="332">
        <f ca="1">INDEX(OFFSET('Baseline NFPC'!$D$1:$W$1,$D42-1,0),MATCH(F$4,'Baseline NFPC'!$D$10:$W$10,0))</f>
        <v>3.0821182519268051</v>
      </c>
      <c r="G42" s="332">
        <f ca="1">INDEX(OFFSET('Baseline NFPC'!$D$1:$W$1,$D42-1,0),MATCH(G$4,'Baseline NFPC'!$D$10:$W$10,0))</f>
        <v>2.914120271626587</v>
      </c>
      <c r="H42" s="332">
        <f ca="1">INDEX(OFFSET('Baseline NFPC'!$D$1:$W$1,$D42-1,0),MATCH(H$4,'Baseline NFPC'!$D$10:$W$10,0))</f>
        <v>2.4172679140699458</v>
      </c>
      <c r="I42" s="332">
        <f ca="1">INDEX(OFFSET('Baseline NFPC'!$D$1:$W$1,$D42-1,0),MATCH(I$4,'Baseline NFPC'!$D$10:$W$10,0))</f>
        <v>1.9421759706557464</v>
      </c>
      <c r="J42" s="332">
        <f ca="1">INDEX(OFFSET('Baseline NFPC'!$D$1:$W$1,$D42-1,0),MATCH(J$4,'Baseline NFPC'!$D$10:$W$10,0))</f>
        <v>1.5108354775927393</v>
      </c>
      <c r="K42" s="332">
        <f ca="1">INDEX(OFFSET('Baseline NFPC'!$D$1:$W$1,$D42-1,0),MATCH(K$4,'Baseline NFPC'!$D$10:$W$10,0))</f>
        <v>1.2447471268162171</v>
      </c>
      <c r="L42" s="332">
        <f ca="1">INDEX(OFFSET('Baseline NFPC'!$D$1:$W$1,$D42-1,0),MATCH(L$4,'Baseline NFPC'!$D$10:$W$10,0))</f>
        <v>1.3624791744214866</v>
      </c>
      <c r="M42" s="332">
        <f ca="1">INDEX(OFFSET('Baseline NFPC'!$D$1:$W$1,$D42-1,0),MATCH(M$4,'Baseline NFPC'!$D$10:$W$10,0))</f>
        <v>1.139368370124604</v>
      </c>
      <c r="N42" s="332">
        <f ca="1">INDEX(OFFSET('Baseline NFPC'!$D$1:$W$1,$D42-1,0),MATCH(N$4,'Baseline NFPC'!$D$10:$W$10,0))</f>
        <v>0.92354703123776072</v>
      </c>
      <c r="O42" s="332">
        <f ca="1">INDEX(OFFSET('Baseline NFPC'!$D$1:$W$1,$D42-1,0),MATCH(O$4,'Baseline NFPC'!$D$10:$W$10,0))</f>
        <v>0.75144716417151636</v>
      </c>
      <c r="P42" s="332">
        <f ca="1">INDEX(OFFSET('Baseline NFPC'!$D$1:$W$1,$D42-1,0),MATCH(P$4,'Baseline NFPC'!$D$10:$W$10,0))</f>
        <v>0.5614940067781109</v>
      </c>
      <c r="Q42" s="332">
        <f ca="1">INDEX(OFFSET('Baseline NFPC'!$D$1:$W$1,$D42-1,0),MATCH(Q$4,'Baseline NFPC'!$D$10:$W$10,0))</f>
        <v>0.44701623516546363</v>
      </c>
      <c r="R42" s="332">
        <f ca="1">INDEX(OFFSET('Baseline NFPC'!$D$1:$W$1,$D42-1,0),MATCH(R$4,'Baseline NFPC'!$D$10:$W$10,0))</f>
        <v>0.26950431619237269</v>
      </c>
      <c r="S42" s="332">
        <f ca="1">INDEX(OFFSET('Baseline NFPC'!$D$1:$W$1,$D42-1,0),MATCH(S$4,'Baseline NFPC'!$D$10:$W$10,0))</f>
        <v>0.15424234464154241</v>
      </c>
      <c r="T42" s="332">
        <f ca="1">INDEX(OFFSET('Baseline NFPC'!$D$1:$W$1,$D42-1,0),MATCH(T$4,'Baseline NFPC'!$D$10:$W$10,0))</f>
        <v>6.8592632109699458E-2</v>
      </c>
      <c r="U42" s="332">
        <f ca="1">INDEX(OFFSET('Baseline NFPC'!$D$1:$W$1,$D42-1,0),MATCH(U$4,'Baseline NFPC'!$D$10:$W$10,0))</f>
        <v>-1.2190905395652707E-2</v>
      </c>
      <c r="V42" s="332">
        <f ca="1">INDEX(OFFSET('Baseline NFPC'!$D$1:$W$1,$D42-1,0),MATCH(V$4,'Baseline NFPC'!$D$10:$W$10,0))</f>
        <v>0.21239632620317561</v>
      </c>
      <c r="W42" s="332">
        <f ca="1">INDEX(OFFSET('Baseline NFPC'!$D$1:$W$1,$D42-1,0),MATCH(W$4,'Baseline NFPC'!$D$10:$W$10,0))</f>
        <v>5.8148382650281105E-2</v>
      </c>
      <c r="X42" s="332">
        <f ca="1">INDEX(OFFSET('Baseline NFPC'!$D$1:$W$1,$D42-1,0),MATCH(X$4,'Baseline NFPC'!$D$10:$W$10,0))</f>
        <v>6.7607634504461833E-2</v>
      </c>
      <c r="Y42" s="271"/>
    </row>
    <row r="43" spans="1:25" x14ac:dyDescent="0.2">
      <c r="A43" s="271"/>
      <c r="B43" s="339">
        <v>3</v>
      </c>
      <c r="C43" s="343" t="s">
        <v>40</v>
      </c>
      <c r="D43" s="344">
        <v>12</v>
      </c>
      <c r="E43" s="345" t="s">
        <v>222</v>
      </c>
      <c r="F43" s="332">
        <f ca="1">INDEX(OFFSET('Baseline NFPC'!$D$1:$W$1,$D43-1,0),MATCH(F$4,'Baseline NFPC'!$D$10:$W$10,0))</f>
        <v>3.2270470000000002</v>
      </c>
      <c r="G43" s="332">
        <f ca="1">INDEX(OFFSET('Baseline NFPC'!$D$1:$W$1,$D43-1,0),MATCH(G$4,'Baseline NFPC'!$D$10:$W$10,0))</f>
        <v>3.482405</v>
      </c>
      <c r="H43" s="332">
        <f ca="1">INDEX(OFFSET('Baseline NFPC'!$D$1:$W$1,$D43-1,0),MATCH(H$4,'Baseline NFPC'!$D$10:$W$10,0))</f>
        <v>3.482405</v>
      </c>
      <c r="I43" s="332">
        <f ca="1">INDEX(OFFSET('Baseline NFPC'!$D$1:$W$1,$D43-1,0),MATCH(I$4,'Baseline NFPC'!$D$10:$W$10,0))</f>
        <v>3.482405</v>
      </c>
      <c r="J43" s="332">
        <f ca="1">INDEX(OFFSET('Baseline NFPC'!$D$1:$W$1,$D43-1,0),MATCH(J$4,'Baseline NFPC'!$D$10:$W$10,0))</f>
        <v>3.482405</v>
      </c>
      <c r="K43" s="332">
        <f ca="1">INDEX(OFFSET('Baseline NFPC'!$D$1:$W$1,$D43-1,0),MATCH(K$4,'Baseline NFPC'!$D$10:$W$10,0))</f>
        <v>3.482405</v>
      </c>
      <c r="L43" s="332">
        <f ca="1">INDEX(OFFSET('Baseline NFPC'!$D$1:$W$1,$D43-1,0),MATCH(L$4,'Baseline NFPC'!$D$10:$W$10,0))</f>
        <v>3.482405</v>
      </c>
      <c r="M43" s="332">
        <f ca="1">INDEX(OFFSET('Baseline NFPC'!$D$1:$W$1,$D43-1,0),MATCH(M$4,'Baseline NFPC'!$D$10:$W$10,0))</f>
        <v>3.482405</v>
      </c>
      <c r="N43" s="332">
        <f ca="1">INDEX(OFFSET('Baseline NFPC'!$D$1:$W$1,$D43-1,0),MATCH(N$4,'Baseline NFPC'!$D$10:$W$10,0))</f>
        <v>3.482405</v>
      </c>
      <c r="O43" s="332">
        <f ca="1">INDEX(OFFSET('Baseline NFPC'!$D$1:$W$1,$D43-1,0),MATCH(O$4,'Baseline NFPC'!$D$10:$W$10,0))</f>
        <v>3.482405</v>
      </c>
      <c r="P43" s="332">
        <f ca="1">INDEX(OFFSET('Baseline NFPC'!$D$1:$W$1,$D43-1,0),MATCH(P$4,'Baseline NFPC'!$D$10:$W$10,0))</f>
        <v>3.482405</v>
      </c>
      <c r="Q43" s="332">
        <f ca="1">INDEX(OFFSET('Baseline NFPC'!$D$1:$W$1,$D43-1,0),MATCH(Q$4,'Baseline NFPC'!$D$10:$W$10,0))</f>
        <v>3.482405</v>
      </c>
      <c r="R43" s="332">
        <f ca="1">INDEX(OFFSET('Baseline NFPC'!$D$1:$W$1,$D43-1,0),MATCH(R$4,'Baseline NFPC'!$D$10:$W$10,0))</f>
        <v>3.482405</v>
      </c>
      <c r="S43" s="332">
        <f ca="1">INDEX(OFFSET('Baseline NFPC'!$D$1:$W$1,$D43-1,0),MATCH(S$4,'Baseline NFPC'!$D$10:$W$10,0))</f>
        <v>3.482405</v>
      </c>
      <c r="T43" s="332">
        <f ca="1">INDEX(OFFSET('Baseline NFPC'!$D$1:$W$1,$D43-1,0),MATCH(T$4,'Baseline NFPC'!$D$10:$W$10,0))</f>
        <v>3.482405</v>
      </c>
      <c r="U43" s="332">
        <f ca="1">INDEX(OFFSET('Baseline NFPC'!$D$1:$W$1,$D43-1,0),MATCH(U$4,'Baseline NFPC'!$D$10:$W$10,0))</f>
        <v>3.482405</v>
      </c>
      <c r="V43" s="332">
        <f ca="1">INDEX(OFFSET('Baseline NFPC'!$D$1:$W$1,$D43-1,0),MATCH(V$4,'Baseline NFPC'!$D$10:$W$10,0))</f>
        <v>3.482405</v>
      </c>
      <c r="W43" s="332">
        <f ca="1">INDEX(OFFSET('Baseline NFPC'!$D$1:$W$1,$D43-1,0),MATCH(W$4,'Baseline NFPC'!$D$10:$W$10,0))</f>
        <v>3.482405</v>
      </c>
      <c r="X43" s="332">
        <f ca="1">INDEX(OFFSET('Baseline NFPC'!$D$1:$W$1,$D43-1,0),MATCH(X$4,'Baseline NFPC'!$D$10:$W$10,0))</f>
        <v>3.482405</v>
      </c>
      <c r="Y43" s="271"/>
    </row>
    <row r="44" spans="1:25" x14ac:dyDescent="0.2">
      <c r="A44" s="271"/>
      <c r="B44" s="339">
        <v>4</v>
      </c>
      <c r="C44" s="343" t="s">
        <v>223</v>
      </c>
      <c r="D44" s="344">
        <v>61</v>
      </c>
      <c r="E44" s="345" t="s">
        <v>222</v>
      </c>
      <c r="F44" s="332">
        <f ca="1">INDEX(OFFSET('Baseline NFPC'!$D$1:$W$1,$D44-1,0),MATCH(F$4,'Baseline NFPC'!$D$10:$W$10,0))</f>
        <v>-1.2970045229268887</v>
      </c>
      <c r="G44" s="332">
        <f ca="1">INDEX(OFFSET('Baseline NFPC'!$D$1:$W$1,$D44-1,0),MATCH(G$4,'Baseline NFPC'!$D$10:$W$10,0))</f>
        <v>-0.81486474677240894</v>
      </c>
      <c r="H44" s="332">
        <f ca="1">INDEX(OFFSET('Baseline NFPC'!$D$1:$W$1,$D44-1,0),MATCH(H$4,'Baseline NFPC'!$D$10:$W$10,0))</f>
        <v>-0.55424912510905266</v>
      </c>
      <c r="I44" s="332">
        <f ca="1">INDEX(OFFSET('Baseline NFPC'!$D$1:$W$1,$D44-1,0),MATCH(I$4,'Baseline NFPC'!$D$10:$W$10,0))</f>
        <v>-0.36949966720595828</v>
      </c>
      <c r="J44" s="332">
        <f ca="1">INDEX(OFFSET('Baseline NFPC'!$D$1:$W$1,$D44-1,0),MATCH(J$4,'Baseline NFPC'!$D$10:$W$10,0))</f>
        <v>-0.12316252384283022</v>
      </c>
      <c r="K44" s="332">
        <f ca="1">INDEX(OFFSET('Baseline NFPC'!$D$1:$W$1,$D44-1,0),MATCH(K$4,'Baseline NFPC'!$D$10:$W$10,0))</f>
        <v>5.2474511583966429E-6</v>
      </c>
      <c r="L44" s="332">
        <f ca="1">INDEX(OFFSET('Baseline NFPC'!$D$1:$W$1,$D44-1,0),MATCH(L$4,'Baseline NFPC'!$D$10:$W$10,0))</f>
        <v>5.2474511639921671E-6</v>
      </c>
      <c r="M44" s="332">
        <f ca="1">INDEX(OFFSET('Baseline NFPC'!$D$1:$W$1,$D44-1,0),MATCH(M$4,'Baseline NFPC'!$D$10:$W$10,0))</f>
        <v>4.2551015543068619E-6</v>
      </c>
      <c r="N44" s="332">
        <f ca="1">INDEX(OFFSET('Baseline NFPC'!$D$1:$W$1,$D44-1,0),MATCH(N$4,'Baseline NFPC'!$D$10:$W$10,0))</f>
        <v>4.2551015543068619E-6</v>
      </c>
      <c r="O44" s="332">
        <f ca="1">INDEX(OFFSET('Baseline NFPC'!$D$1:$W$1,$D44-1,0),MATCH(O$4,'Baseline NFPC'!$D$10:$W$10,0))</f>
        <v>5.2482081264848544E-6</v>
      </c>
      <c r="P44" s="332">
        <f ca="1">INDEX(OFFSET('Baseline NFPC'!$D$1:$W$1,$D44-1,0),MATCH(P$4,'Baseline NFPC'!$D$10:$W$10,0))</f>
        <v>4.2548351458115976E-6</v>
      </c>
      <c r="Q44" s="332">
        <f ca="1">INDEX(OFFSET('Baseline NFPC'!$D$1:$W$1,$D44-1,0),MATCH(Q$4,'Baseline NFPC'!$D$10:$W$10,0))</f>
        <v>5.2475774102056507E-6</v>
      </c>
      <c r="R44" s="332">
        <f ca="1">INDEX(OFFSET('Baseline NFPC'!$D$1:$W$1,$D44-1,0),MATCH(R$4,'Baseline NFPC'!$D$10:$W$10,0))</f>
        <v>6.7357458626737811E-6</v>
      </c>
      <c r="S44" s="332">
        <f ca="1">INDEX(OFFSET('Baseline NFPC'!$D$1:$W$1,$D44-1,0),MATCH(S$4,'Baseline NFPC'!$D$10:$W$10,0))</f>
        <v>8.2229705796521561E-6</v>
      </c>
      <c r="T44" s="332">
        <f ca="1">INDEX(OFFSET('Baseline NFPC'!$D$1:$W$1,$D44-1,0),MATCH(T$4,'Baseline NFPC'!$D$10:$W$10,0))</f>
        <v>9.7089249336157473E-6</v>
      </c>
      <c r="U44" s="332">
        <f ca="1">INDEX(OFFSET('Baseline NFPC'!$D$1:$W$1,$D44-1,0),MATCH(U$4,'Baseline NFPC'!$D$10:$W$10,0))</f>
        <v>9.2138703666755362E-6</v>
      </c>
      <c r="V44" s="332">
        <f ca="1">INDEX(OFFSET('Baseline NFPC'!$D$1:$W$1,$D44-1,0),MATCH(V$4,'Baseline NFPC'!$D$10:$W$10,0))</f>
        <v>7.234926149379817E-6</v>
      </c>
      <c r="W44" s="332">
        <f ca="1">INDEX(OFFSET('Baseline NFPC'!$D$1:$W$1,$D44-1,0),MATCH(W$4,'Baseline NFPC'!$D$10:$W$10,0))</f>
        <v>7.234926149379817E-6</v>
      </c>
      <c r="X44" s="332">
        <f ca="1">INDEX(OFFSET('Baseline NFPC'!$D$1:$W$1,$D44-1,0),MATCH(X$4,'Baseline NFPC'!$D$10:$W$10,0))</f>
        <v>7.7294824908591405E-6</v>
      </c>
      <c r="Y44" s="271"/>
    </row>
    <row r="45" spans="1:25" x14ac:dyDescent="0.2">
      <c r="A45" s="271"/>
      <c r="B45" s="339">
        <v>5</v>
      </c>
      <c r="C45" s="343" t="s">
        <v>225</v>
      </c>
      <c r="D45" s="344">
        <v>67</v>
      </c>
      <c r="E45" s="345" t="s">
        <v>220</v>
      </c>
      <c r="F45" s="332">
        <f ca="1">INDEX(OFFSET('Baseline NFPC'!$D$1:$W$1,$D45-1,0),MATCH(F$4,'Baseline NFPC'!$D$10:$W$10,0))</f>
        <v>1.4419332710000843</v>
      </c>
      <c r="G45" s="332">
        <f ca="1">INDEX(OFFSET('Baseline NFPC'!$D$1:$W$1,$D45-1,0),MATCH(G$4,'Baseline NFPC'!$D$10:$W$10,0))</f>
        <v>1.3831494751458222</v>
      </c>
      <c r="H45" s="332">
        <f ca="1">INDEX(OFFSET('Baseline NFPC'!$D$1:$W$1,$D45-1,0),MATCH(H$4,'Baseline NFPC'!$D$10:$W$10,0))</f>
        <v>1.2767786110391002</v>
      </c>
      <c r="I45" s="332">
        <f ca="1">INDEX(OFFSET('Baseline NFPC'!$D$1:$W$1,$D45-1,0),MATCH(I$4,'Baseline NFPC'!$D$10:$W$10,0))</f>
        <v>1.2941333965502111</v>
      </c>
      <c r="J45" s="332">
        <f ca="1">INDEX(OFFSET('Baseline NFPC'!$D$1:$W$1,$D45-1,0),MATCH(J$4,'Baseline NFPC'!$D$10:$W$10,0))</f>
        <v>1.2962090462500928</v>
      </c>
      <c r="K45" s="332">
        <f ca="1">INDEX(OFFSET('Baseline NFPC'!$D$1:$W$1,$D45-1,0),MATCH(K$4,'Baseline NFPC'!$D$10:$W$10,0))</f>
        <v>1.2946219257326275</v>
      </c>
      <c r="L45" s="332">
        <f ca="1">INDEX(OFFSET('Baseline NFPC'!$D$1:$W$1,$D45-1,0),MATCH(L$4,'Baseline NFPC'!$D$10:$W$10,0))</f>
        <v>1.2914521781273516</v>
      </c>
      <c r="M45" s="332">
        <f ca="1">INDEX(OFFSET('Baseline NFPC'!$D$1:$W$1,$D45-1,0),MATCH(M$4,'Baseline NFPC'!$D$10:$W$10,0))</f>
        <v>1.2710362747738424</v>
      </c>
      <c r="N45" s="332">
        <f ca="1">INDEX(OFFSET('Baseline NFPC'!$D$1:$W$1,$D45-1,0),MATCH(N$4,'Baseline NFPC'!$D$10:$W$10,0))</f>
        <v>1.2427900136606864</v>
      </c>
      <c r="O45" s="332">
        <f ca="1">INDEX(OFFSET('Baseline NFPC'!$D$1:$W$1,$D45-1,0),MATCH(O$4,'Baseline NFPC'!$D$10:$W$10,0))</f>
        <v>1.2179811876203577</v>
      </c>
      <c r="P45" s="332">
        <f ca="1">INDEX(OFFSET('Baseline NFPC'!$D$1:$W$1,$D45-1,0),MATCH(P$4,'Baseline NFPC'!$D$10:$W$10,0))</f>
        <v>1.1716576383867445</v>
      </c>
      <c r="Q45" s="332">
        <f ca="1">INDEX(OFFSET('Baseline NFPC'!$D$1:$W$1,$D45-1,0),MATCH(Q$4,'Baseline NFPC'!$D$10:$W$10,0))</f>
        <v>1.129506717257122</v>
      </c>
      <c r="R45" s="332">
        <f ca="1">INDEX(OFFSET('Baseline NFPC'!$D$1:$W$1,$D45-1,0),MATCH(R$4,'Baseline NFPC'!$D$10:$W$10,0))</f>
        <v>1.090179448061761</v>
      </c>
      <c r="S45" s="332">
        <f ca="1">INDEX(OFFSET('Baseline NFPC'!$D$1:$W$1,$D45-1,0),MATCH(S$4,'Baseline NFPC'!$D$10:$W$10,0))</f>
        <v>1.0564322323878756</v>
      </c>
      <c r="T45" s="332">
        <f ca="1">INDEX(OFFSET('Baseline NFPC'!$D$1:$W$1,$D45-1,0),MATCH(T$4,'Baseline NFPC'!$D$10:$W$10,0))</f>
        <v>1.0256528589653613</v>
      </c>
      <c r="U45" s="332">
        <f ca="1">INDEX(OFFSET('Baseline NFPC'!$D$1:$W$1,$D45-1,0),MATCH(U$4,'Baseline NFPC'!$D$10:$W$10,0))</f>
        <v>0.99767919152528928</v>
      </c>
      <c r="V45" s="332">
        <f ca="1">INDEX(OFFSET('Baseline NFPC'!$D$1:$W$1,$D45-1,0),MATCH(V$4,'Baseline NFPC'!$D$10:$W$10,0))</f>
        <v>0.97131623887067553</v>
      </c>
      <c r="W45" s="332">
        <f ca="1">INDEX(OFFSET('Baseline NFPC'!$D$1:$W$1,$D45-1,0),MATCH(W$4,'Baseline NFPC'!$D$10:$W$10,0))</f>
        <v>0.93588648242356542</v>
      </c>
      <c r="X45" s="332">
        <f ca="1">INDEX(OFFSET('Baseline NFPC'!$D$1:$W$1,$D45-1,0),MATCH(X$4,'Baseline NFPC'!$D$10:$W$10,0))</f>
        <v>0.90697903601304564</v>
      </c>
      <c r="Y45" s="271"/>
    </row>
    <row r="46" spans="1:25" x14ac:dyDescent="0.2">
      <c r="A46" s="271"/>
      <c r="B46" s="339">
        <v>6</v>
      </c>
      <c r="C46" s="346" t="s">
        <v>94</v>
      </c>
      <c r="D46" s="344">
        <v>36</v>
      </c>
      <c r="E46" s="345" t="s">
        <v>226</v>
      </c>
      <c r="F46" s="332">
        <f ca="1">INDEX(OFFSET('Baseline NFPC'!$D$1:$W$1,$D46-1,0),MATCH(F$4,'Baseline NFPC'!$D$10:$W$10,0))</f>
        <v>3.91</v>
      </c>
      <c r="G46" s="332">
        <f ca="1">INDEX(OFFSET('Baseline NFPC'!$D$1:$W$1,$D46-1,0),MATCH(G$4,'Baseline NFPC'!$D$10:$W$10,0))</f>
        <v>3.3161689999999999</v>
      </c>
      <c r="H46" s="332">
        <f ca="1">INDEX(OFFSET('Baseline NFPC'!$D$1:$W$1,$D46-1,0),MATCH(H$4,'Baseline NFPC'!$D$10:$W$10,0))</f>
        <v>3.3153579999999998</v>
      </c>
      <c r="I46" s="332">
        <f ca="1">INDEX(OFFSET('Baseline NFPC'!$D$1:$W$1,$D46-1,0),MATCH(I$4,'Baseline NFPC'!$D$10:$W$10,0))</f>
        <v>3.381707</v>
      </c>
      <c r="J46" s="332">
        <f ca="1">INDEX(OFFSET('Baseline NFPC'!$D$1:$W$1,$D46-1,0),MATCH(J$4,'Baseline NFPC'!$D$10:$W$10,0))</f>
        <v>3.4480560000000002</v>
      </c>
      <c r="K46" s="332">
        <f ca="1">INDEX(OFFSET('Baseline NFPC'!$D$1:$W$1,$D46-1,0),MATCH(K$4,'Baseline NFPC'!$D$10:$W$10,0))</f>
        <v>3.5144050000000004</v>
      </c>
      <c r="L46" s="332">
        <f ca="1">INDEX(OFFSET('Baseline NFPC'!$D$1:$W$1,$D46-1,0),MATCH(L$4,'Baseline NFPC'!$D$10:$W$10,0))</f>
        <v>3.5807540000000007</v>
      </c>
      <c r="M46" s="332">
        <f ca="1">INDEX(OFFSET('Baseline NFPC'!$D$1:$W$1,$D46-1,0),MATCH(M$4,'Baseline NFPC'!$D$10:$W$10,0))</f>
        <v>3.6471030000000009</v>
      </c>
      <c r="N46" s="332">
        <f ca="1">INDEX(OFFSET('Baseline NFPC'!$D$1:$W$1,$D46-1,0),MATCH(N$4,'Baseline NFPC'!$D$10:$W$10,0))</f>
        <v>3.7134520000000011</v>
      </c>
      <c r="O46" s="332">
        <f ca="1">INDEX(OFFSET('Baseline NFPC'!$D$1:$W$1,$D46-1,0),MATCH(O$4,'Baseline NFPC'!$D$10:$W$10,0))</f>
        <v>3.7798010000000013</v>
      </c>
      <c r="P46" s="332">
        <f ca="1">INDEX(OFFSET('Baseline NFPC'!$D$1:$W$1,$D46-1,0),MATCH(P$4,'Baseline NFPC'!$D$10:$W$10,0))</f>
        <v>3.8461500000000002</v>
      </c>
      <c r="Q46" s="332">
        <f ca="1">INDEX(OFFSET('Baseline NFPC'!$D$1:$W$1,$D46-1,0),MATCH(Q$4,'Baseline NFPC'!$D$10:$W$10,0))</f>
        <v>3.8538425000000003</v>
      </c>
      <c r="R46" s="332">
        <f ca="1">INDEX(OFFSET('Baseline NFPC'!$D$1:$W$1,$D46-1,0),MATCH(R$4,'Baseline NFPC'!$D$10:$W$10,0))</f>
        <v>3.8615349999999999</v>
      </c>
      <c r="S46" s="332">
        <f ca="1">INDEX(OFFSET('Baseline NFPC'!$D$1:$W$1,$D46-1,0),MATCH(S$4,'Baseline NFPC'!$D$10:$W$10,0))</f>
        <v>3.8692275</v>
      </c>
      <c r="T46" s="332">
        <f ca="1">INDEX(OFFSET('Baseline NFPC'!$D$1:$W$1,$D46-1,0),MATCH(T$4,'Baseline NFPC'!$D$10:$W$10,0))</f>
        <v>3.8769200000000001</v>
      </c>
      <c r="U46" s="332">
        <f ca="1">INDEX(OFFSET('Baseline NFPC'!$D$1:$W$1,$D46-1,0),MATCH(U$4,'Baseline NFPC'!$D$10:$W$10,0))</f>
        <v>3.8846125000000002</v>
      </c>
      <c r="V46" s="332">
        <f ca="1">INDEX(OFFSET('Baseline NFPC'!$D$1:$W$1,$D46-1,0),MATCH(V$4,'Baseline NFPC'!$D$10:$W$10,0))</f>
        <v>3.8923050000000003</v>
      </c>
      <c r="W46" s="332">
        <f ca="1">INDEX(OFFSET('Baseline NFPC'!$D$1:$W$1,$D46-1,0),MATCH(W$4,'Baseline NFPC'!$D$10:$W$10,0))</f>
        <v>3.8999975</v>
      </c>
      <c r="X46" s="332">
        <f ca="1">INDEX(OFFSET('Baseline NFPC'!$D$1:$W$1,$D46-1,0),MATCH(X$4,'Baseline NFPC'!$D$10:$W$10,0))</f>
        <v>3.9076900000000001</v>
      </c>
      <c r="Y46" s="271"/>
    </row>
    <row r="47" spans="1:25" x14ac:dyDescent="0.2">
      <c r="A47" s="271"/>
      <c r="B47" s="339">
        <v>7</v>
      </c>
      <c r="C47" s="346" t="s">
        <v>95</v>
      </c>
      <c r="D47" s="344">
        <v>37</v>
      </c>
      <c r="E47" s="345" t="s">
        <v>226</v>
      </c>
      <c r="F47" s="332">
        <f ca="1">INDEX(OFFSET('Baseline NFPC'!$D$1:$W$1,$D47-1,0),MATCH(F$4,'Baseline NFPC'!$D$10:$W$10,0))</f>
        <v>3.43</v>
      </c>
      <c r="G47" s="332">
        <f ca="1">INDEX(OFFSET('Baseline NFPC'!$D$1:$W$1,$D47-1,0),MATCH(G$4,'Baseline NFPC'!$D$10:$W$10,0))</f>
        <v>3.5642079999999998</v>
      </c>
      <c r="H47" s="332">
        <f ca="1">INDEX(OFFSET('Baseline NFPC'!$D$1:$W$1,$D47-1,0),MATCH(H$4,'Baseline NFPC'!$D$10:$W$10,0))</f>
        <v>2.8163749999999999</v>
      </c>
      <c r="I47" s="332">
        <f ca="1">INDEX(OFFSET('Baseline NFPC'!$D$1:$W$1,$D47-1,0),MATCH(I$4,'Baseline NFPC'!$D$10:$W$10,0))</f>
        <v>2.8050893749999997</v>
      </c>
      <c r="J47" s="332">
        <f ca="1">INDEX(OFFSET('Baseline NFPC'!$D$1:$W$1,$D47-1,0),MATCH(J$4,'Baseline NFPC'!$D$10:$W$10,0))</f>
        <v>2.7938037499999995</v>
      </c>
      <c r="K47" s="332">
        <f ca="1">INDEX(OFFSET('Baseline NFPC'!$D$1:$W$1,$D47-1,0),MATCH(K$4,'Baseline NFPC'!$D$10:$W$10,0))</f>
        <v>2.7825181249999993</v>
      </c>
      <c r="L47" s="332">
        <f ca="1">INDEX(OFFSET('Baseline NFPC'!$D$1:$W$1,$D47-1,0),MATCH(L$4,'Baseline NFPC'!$D$10:$W$10,0))</f>
        <v>2.7712324999999991</v>
      </c>
      <c r="M47" s="332">
        <f ca="1">INDEX(OFFSET('Baseline NFPC'!$D$1:$W$1,$D47-1,0),MATCH(M$4,'Baseline NFPC'!$D$10:$W$10,0))</f>
        <v>2.7599468749999989</v>
      </c>
      <c r="N47" s="332">
        <f ca="1">INDEX(OFFSET('Baseline NFPC'!$D$1:$W$1,$D47-1,0),MATCH(N$4,'Baseline NFPC'!$D$10:$W$10,0))</f>
        <v>2.7486612499999987</v>
      </c>
      <c r="O47" s="332">
        <f ca="1">INDEX(OFFSET('Baseline NFPC'!$D$1:$W$1,$D47-1,0),MATCH(O$4,'Baseline NFPC'!$D$10:$W$10,0))</f>
        <v>2.7373756249999985</v>
      </c>
      <c r="P47" s="332">
        <f ca="1">INDEX(OFFSET('Baseline NFPC'!$D$1:$W$1,$D47-1,0),MATCH(P$4,'Baseline NFPC'!$D$10:$W$10,0))</f>
        <v>2.7260900000000001</v>
      </c>
      <c r="Q47" s="332">
        <f ca="1">INDEX(OFFSET('Baseline NFPC'!$D$1:$W$1,$D47-1,0),MATCH(Q$4,'Baseline NFPC'!$D$10:$W$10,0))</f>
        <v>2.6897855000000002</v>
      </c>
      <c r="R47" s="332">
        <f ca="1">INDEX(OFFSET('Baseline NFPC'!$D$1:$W$1,$D47-1,0),MATCH(R$4,'Baseline NFPC'!$D$10:$W$10,0))</f>
        <v>2.6534810000000002</v>
      </c>
      <c r="S47" s="332">
        <f ca="1">INDEX(OFFSET('Baseline NFPC'!$D$1:$W$1,$D47-1,0),MATCH(S$4,'Baseline NFPC'!$D$10:$W$10,0))</f>
        <v>2.6171765000000002</v>
      </c>
      <c r="T47" s="332">
        <f ca="1">INDEX(OFFSET('Baseline NFPC'!$D$1:$W$1,$D47-1,0),MATCH(T$4,'Baseline NFPC'!$D$10:$W$10,0))</f>
        <v>2.5808720000000003</v>
      </c>
      <c r="U47" s="332">
        <f ca="1">INDEX(OFFSET('Baseline NFPC'!$D$1:$W$1,$D47-1,0),MATCH(U$4,'Baseline NFPC'!$D$10:$W$10,0))</f>
        <v>2.5445675000000003</v>
      </c>
      <c r="V47" s="332">
        <f ca="1">INDEX(OFFSET('Baseline NFPC'!$D$1:$W$1,$D47-1,0),MATCH(V$4,'Baseline NFPC'!$D$10:$W$10,0))</f>
        <v>2.5082629999999999</v>
      </c>
      <c r="W47" s="332">
        <f ca="1">INDEX(OFFSET('Baseline NFPC'!$D$1:$W$1,$D47-1,0),MATCH(W$4,'Baseline NFPC'!$D$10:$W$10,0))</f>
        <v>2.4719584999999999</v>
      </c>
      <c r="X47" s="332">
        <f ca="1">INDEX(OFFSET('Baseline NFPC'!$D$1:$W$1,$D47-1,0),MATCH(X$4,'Baseline NFPC'!$D$10:$W$10,0))</f>
        <v>2.435654</v>
      </c>
      <c r="Y47" s="271"/>
    </row>
    <row r="48" spans="1:25" x14ac:dyDescent="0.2">
      <c r="A48" s="271"/>
      <c r="B48" s="339">
        <v>8</v>
      </c>
      <c r="C48" s="343" t="s">
        <v>227</v>
      </c>
      <c r="D48" s="344">
        <v>35</v>
      </c>
      <c r="E48" s="345" t="s">
        <v>226</v>
      </c>
      <c r="F48" s="332">
        <f ca="1">INDEX(OFFSET('Baseline NFPC'!$D$1:$W$1,$D48-1,0),MATCH(F$4,'Baseline NFPC'!$D$10:$W$10,0))</f>
        <v>1.80772</v>
      </c>
      <c r="G48" s="332">
        <f ca="1">INDEX(OFFSET('Baseline NFPC'!$D$1:$W$1,$D48-1,0),MATCH(G$4,'Baseline NFPC'!$D$10:$W$10,0))</f>
        <v>1.9077200000000001</v>
      </c>
      <c r="H48" s="332">
        <f ca="1">INDEX(OFFSET('Baseline NFPC'!$D$1:$W$1,$D48-1,0),MATCH(H$4,'Baseline NFPC'!$D$10:$W$10,0))</f>
        <v>1.9077200000000001</v>
      </c>
      <c r="I48" s="332">
        <f ca="1">INDEX(OFFSET('Baseline NFPC'!$D$1:$W$1,$D48-1,0),MATCH(I$4,'Baseline NFPC'!$D$10:$W$10,0))</f>
        <v>2.0578644042332872</v>
      </c>
      <c r="J48" s="332">
        <f ca="1">INDEX(OFFSET('Baseline NFPC'!$D$1:$W$1,$D48-1,0),MATCH(J$4,'Baseline NFPC'!$D$10:$W$10,0))</f>
        <v>2.2118747751549774</v>
      </c>
      <c r="K48" s="332">
        <f ca="1">INDEX(OFFSET('Baseline NFPC'!$D$1:$W$1,$D48-1,0),MATCH(K$4,'Baseline NFPC'!$D$10:$W$10,0))</f>
        <v>2.3601174524281245</v>
      </c>
      <c r="L48" s="332">
        <f ca="1">INDEX(OFFSET('Baseline NFPC'!$D$1:$W$1,$D48-1,0),MATCH(L$4,'Baseline NFPC'!$D$10:$W$10,0))</f>
        <v>2.509376093422182</v>
      </c>
      <c r="M48" s="332">
        <f ca="1">INDEX(OFFSET('Baseline NFPC'!$D$1:$W$1,$D48-1,0),MATCH(M$4,'Baseline NFPC'!$D$10:$W$10,0))</f>
        <v>2.6408966411575108</v>
      </c>
      <c r="N48" s="332">
        <f ca="1">INDEX(OFFSET('Baseline NFPC'!$D$1:$W$1,$D48-1,0),MATCH(N$4,'Baseline NFPC'!$D$10:$W$10,0))</f>
        <v>2.7524530711746404</v>
      </c>
      <c r="O48" s="332">
        <f ca="1">INDEX(OFFSET('Baseline NFPC'!$D$1:$W$1,$D48-1,0),MATCH(O$4,'Baseline NFPC'!$D$10:$W$10,0))</f>
        <v>2.865798759261871</v>
      </c>
      <c r="P48" s="332">
        <f ca="1">INDEX(OFFSET('Baseline NFPC'!$D$1:$W$1,$D48-1,0),MATCH(P$4,'Baseline NFPC'!$D$10:$W$10,0))</f>
        <v>2.9203644316467692</v>
      </c>
      <c r="Q48" s="332">
        <f ca="1">INDEX(OFFSET('Baseline NFPC'!$D$1:$W$1,$D48-1,0),MATCH(Q$4,'Baseline NFPC'!$D$10:$W$10,0))</f>
        <v>2.9722771636553915</v>
      </c>
      <c r="R48" s="332">
        <f ca="1">INDEX(OFFSET('Baseline NFPC'!$D$1:$W$1,$D48-1,0),MATCH(R$4,'Baseline NFPC'!$D$10:$W$10,0))</f>
        <v>3.0230111663401642</v>
      </c>
      <c r="S48" s="332">
        <f ca="1">INDEX(OFFSET('Baseline NFPC'!$D$1:$W$1,$D48-1,0),MATCH(S$4,'Baseline NFPC'!$D$10:$W$10,0))</f>
        <v>3.0746977840493419</v>
      </c>
      <c r="T48" s="332">
        <f ca="1">INDEX(OFFSET('Baseline NFPC'!$D$1:$W$1,$D48-1,0),MATCH(T$4,'Baseline NFPC'!$D$10:$W$10,0))</f>
        <v>3.1255827448038529</v>
      </c>
      <c r="U48" s="332">
        <f ca="1">INDEX(OFFSET('Baseline NFPC'!$D$1:$W$1,$D48-1,0),MATCH(U$4,'Baseline NFPC'!$D$10:$W$10,0))</f>
        <v>3.176586129394241</v>
      </c>
      <c r="V48" s="332">
        <f ca="1">INDEX(OFFSET('Baseline NFPC'!$D$1:$W$1,$D48-1,0),MATCH(V$4,'Baseline NFPC'!$D$10:$W$10,0))</f>
        <v>3.2244457680303307</v>
      </c>
      <c r="W48" s="332">
        <f ca="1">INDEX(OFFSET('Baseline NFPC'!$D$1:$W$1,$D48-1,0),MATCH(W$4,'Baseline NFPC'!$D$10:$W$10,0))</f>
        <v>3.2648611866733375</v>
      </c>
      <c r="X48" s="332">
        <f ca="1">INDEX(OFFSET('Baseline NFPC'!$D$1:$W$1,$D48-1,0),MATCH(X$4,'Baseline NFPC'!$D$10:$W$10,0))</f>
        <v>3.3062700786320192</v>
      </c>
      <c r="Y48" s="271"/>
    </row>
    <row r="49" spans="1:25" x14ac:dyDescent="0.2">
      <c r="A49" s="271"/>
      <c r="B49" s="339">
        <v>9</v>
      </c>
      <c r="C49" s="347" t="s">
        <v>62</v>
      </c>
      <c r="D49" s="344">
        <v>26</v>
      </c>
      <c r="E49" s="345" t="s">
        <v>229</v>
      </c>
      <c r="F49" s="332">
        <f ca="1">(INDEX(OFFSET('Baseline NFPC'!$D$1:$W$1,$D49-1,0),MATCH(F$4,'Baseline NFPC'!$D$10:$W$10,0))/INDEX(OFFSET('Baseline NFPC'!$D$1:$W$1,$D49-1,0),MATCH(E$4,'Baseline NFPC'!$D$10:$W$10,0))-1)*100</f>
        <v>4.0714319999999971</v>
      </c>
      <c r="G49" s="332">
        <f ca="1">(INDEX(OFFSET('Baseline NFPC'!$D$1:$W$1,$D49-1,0),MATCH(G$4,'Baseline NFPC'!$D$10:$W$10,0))/INDEX(OFFSET('Baseline NFPC'!$D$1:$W$1,$D49-1,0),MATCH(F$4,'Baseline NFPC'!$D$10:$W$10,0))-1)*100</f>
        <v>3.7461809999999929</v>
      </c>
      <c r="H49" s="332">
        <f ca="1">(INDEX(OFFSET('Baseline NFPC'!$D$1:$W$1,$D49-1,0),MATCH(H$4,'Baseline NFPC'!$D$10:$W$10,0))/INDEX(OFFSET('Baseline NFPC'!$D$1:$W$1,$D49-1,0),MATCH(G$4,'Baseline NFPC'!$D$10:$W$10,0))-1)*100</f>
        <v>3.5384190000000038</v>
      </c>
      <c r="I49" s="332">
        <f ca="1">(INDEX(OFFSET('Baseline NFPC'!$D$1:$W$1,$D49-1,0),MATCH(I$4,'Baseline NFPC'!$D$10:$W$10,0))/INDEX(OFFSET('Baseline NFPC'!$D$1:$W$1,$D49-1,0),MATCH(H$4,'Baseline NFPC'!$D$10:$W$10,0))-1)*100</f>
        <v>2.570446000000004</v>
      </c>
      <c r="J49" s="332">
        <f ca="1">(INDEX(OFFSET('Baseline NFPC'!$D$1:$W$1,$D49-1,0),MATCH(J$4,'Baseline NFPC'!$D$10:$W$10,0))/INDEX(OFFSET('Baseline NFPC'!$D$1:$W$1,$D49-1,0),MATCH(I$4,'Baseline NFPC'!$D$10:$W$10,0))-1)*100</f>
        <v>2.0366660000000092</v>
      </c>
      <c r="K49" s="332">
        <f ca="1">(INDEX(OFFSET('Baseline NFPC'!$D$1:$W$1,$D49-1,0),MATCH(K$4,'Baseline NFPC'!$D$10:$W$10,0))/INDEX(OFFSET('Baseline NFPC'!$D$1:$W$1,$D49-1,0),MATCH(J$4,'Baseline NFPC'!$D$10:$W$10,0))-1)*100</f>
        <v>1.8472189999999999</v>
      </c>
      <c r="L49" s="332">
        <f ca="1">(INDEX(OFFSET('Baseline NFPC'!$D$1:$W$1,$D49-1,0),MATCH(L$4,'Baseline NFPC'!$D$10:$W$10,0))/INDEX(OFFSET('Baseline NFPC'!$D$1:$W$1,$D49-1,0),MATCH(K$4,'Baseline NFPC'!$D$10:$W$10,0))-1)*100</f>
        <v>1.6630259999999897</v>
      </c>
      <c r="M49" s="332">
        <f ca="1">(INDEX(OFFSET('Baseline NFPC'!$D$1:$W$1,$D49-1,0),MATCH(M$4,'Baseline NFPC'!$D$10:$W$10,0))/INDEX(OFFSET('Baseline NFPC'!$D$1:$W$1,$D49-1,0),MATCH(L$4,'Baseline NFPC'!$D$10:$W$10,0))-1)*100</f>
        <v>1.57709399999999</v>
      </c>
      <c r="N49" s="332">
        <f ca="1">(INDEX(OFFSET('Baseline NFPC'!$D$1:$W$1,$D49-1,0),MATCH(N$4,'Baseline NFPC'!$D$10:$W$10,0))/INDEX(OFFSET('Baseline NFPC'!$D$1:$W$1,$D49-1,0),MATCH(M$4,'Baseline NFPC'!$D$10:$W$10,0))-1)*100</f>
        <v>1.5250999999999904</v>
      </c>
      <c r="O49" s="332">
        <f ca="1">(INDEX(OFFSET('Baseline NFPC'!$D$1:$W$1,$D49-1,0),MATCH(O$4,'Baseline NFPC'!$D$10:$W$10,0))/INDEX(OFFSET('Baseline NFPC'!$D$1:$W$1,$D49-1,0),MATCH(N$4,'Baseline NFPC'!$D$10:$W$10,0))-1)*100</f>
        <v>1.4996730000000014</v>
      </c>
      <c r="P49" s="332">
        <f ca="1">(INDEX(OFFSET('Baseline NFPC'!$D$1:$W$1,$D49-1,0),MATCH(P$4,'Baseline NFPC'!$D$10:$W$10,0))/INDEX(OFFSET('Baseline NFPC'!$D$1:$W$1,$D49-1,0),MATCH(O$4,'Baseline NFPC'!$D$10:$W$10,0))-1)*100</f>
        <v>1.472449000000009</v>
      </c>
      <c r="Q49" s="332">
        <f ca="1">(INDEX(OFFSET('Baseline NFPC'!$D$1:$W$1,$D49-1,0),MATCH(Q$4,'Baseline NFPC'!$D$10:$W$10,0))/INDEX(OFFSET('Baseline NFPC'!$D$1:$W$1,$D49-1,0),MATCH(P$4,'Baseline NFPC'!$D$10:$W$10,0))-1)*100</f>
        <v>1.5369189999999922</v>
      </c>
      <c r="R49" s="332">
        <f ca="1">(INDEX(OFFSET('Baseline NFPC'!$D$1:$W$1,$D49-1,0),MATCH(R$4,'Baseline NFPC'!$D$10:$W$10,0))/INDEX(OFFSET('Baseline NFPC'!$D$1:$W$1,$D49-1,0),MATCH(Q$4,'Baseline NFPC'!$D$10:$W$10,0))-1)*100</f>
        <v>1.6013899999999692</v>
      </c>
      <c r="S49" s="332">
        <f ca="1">(INDEX(OFFSET('Baseline NFPC'!$D$1:$W$1,$D49-1,0),MATCH(S$4,'Baseline NFPC'!$D$10:$W$10,0))/INDEX(OFFSET('Baseline NFPC'!$D$1:$W$1,$D49-1,0),MATCH(R$4,'Baseline NFPC'!$D$10:$W$10,0))-1)*100</f>
        <v>1.6658599999999968</v>
      </c>
      <c r="T49" s="332">
        <f ca="1">(INDEX(OFFSET('Baseline NFPC'!$D$1:$W$1,$D49-1,0),MATCH(T$4,'Baseline NFPC'!$D$10:$W$10,0))/INDEX(OFFSET('Baseline NFPC'!$D$1:$W$1,$D49-1,0),MATCH(S$4,'Baseline NFPC'!$D$10:$W$10,0))-1)*100</f>
        <v>1.7527730000000075</v>
      </c>
      <c r="U49" s="332">
        <f ca="1">(INDEX(OFFSET('Baseline NFPC'!$D$1:$W$1,$D49-1,0),MATCH(U$4,'Baseline NFPC'!$D$10:$W$10,0))/INDEX(OFFSET('Baseline NFPC'!$D$1:$W$1,$D49-1,0),MATCH(T$4,'Baseline NFPC'!$D$10:$W$10,0))-1)*100</f>
        <v>1.8069410000000063</v>
      </c>
      <c r="V49" s="332">
        <f ca="1">(INDEX(OFFSET('Baseline NFPC'!$D$1:$W$1,$D49-1,0),MATCH(V$4,'Baseline NFPC'!$D$10:$W$10,0))/INDEX(OFFSET('Baseline NFPC'!$D$1:$W$1,$D49-1,0),MATCH(U$4,'Baseline NFPC'!$D$10:$W$10,0))-1)*100</f>
        <v>1.8724839999999965</v>
      </c>
      <c r="W49" s="332">
        <f ca="1">(INDEX(OFFSET('Baseline NFPC'!$D$1:$W$1,$D49-1,0),MATCH(W$4,'Baseline NFPC'!$D$10:$W$10,0))/INDEX(OFFSET('Baseline NFPC'!$D$1:$W$1,$D49-1,0),MATCH(V$4,'Baseline NFPC'!$D$10:$W$10,0))-1)*100</f>
        <v>1.9423069999999987</v>
      </c>
      <c r="X49" s="332">
        <f ca="1">(INDEX(OFFSET('Baseline NFPC'!$D$1:$W$1,$D49-1,0),MATCH(X$4,'Baseline NFPC'!$D$10:$W$10,0))/INDEX(OFFSET('Baseline NFPC'!$D$1:$W$1,$D49-1,0),MATCH(W$4,'Baseline NFPC'!$D$10:$W$10,0))-1)*100</f>
        <v>1.9095050000000002</v>
      </c>
      <c r="Y49" s="271"/>
    </row>
    <row r="50" spans="1:25" x14ac:dyDescent="0.2">
      <c r="A50" s="271"/>
      <c r="B50" s="339">
        <v>10</v>
      </c>
      <c r="C50" s="335" t="s">
        <v>230</v>
      </c>
      <c r="D50" s="344">
        <v>23</v>
      </c>
      <c r="E50" s="345" t="s">
        <v>229</v>
      </c>
      <c r="F50" s="332">
        <f ca="1">INDEX(OFFSET('Baseline NFPC'!$D$1:$W$1,$D50-1,0),MATCH(F$4,'Baseline NFPC'!$D$10:$W$10,0))</f>
        <v>2.4612370000000001</v>
      </c>
      <c r="G50" s="332">
        <f ca="1">INDEX(OFFSET('Baseline NFPC'!$D$1:$W$1,$D50-1,0),MATCH(G$4,'Baseline NFPC'!$D$10:$W$10,0))</f>
        <v>2.7786170000000001</v>
      </c>
      <c r="H50" s="332">
        <f ca="1">INDEX(OFFSET('Baseline NFPC'!$D$1:$W$1,$D50-1,0),MATCH(H$4,'Baseline NFPC'!$D$10:$W$10,0))</f>
        <v>3.0115460000000001</v>
      </c>
      <c r="I50" s="332">
        <f ca="1">INDEX(OFFSET('Baseline NFPC'!$D$1:$W$1,$D50-1,0),MATCH(I$4,'Baseline NFPC'!$D$10:$W$10,0))</f>
        <v>2.1985469999999951</v>
      </c>
      <c r="J50" s="332">
        <f ca="1">INDEX(OFFSET('Baseline NFPC'!$D$1:$W$1,$D50-1,0),MATCH(J$4,'Baseline NFPC'!$D$10:$W$10,0))</f>
        <v>1.541576999999994</v>
      </c>
      <c r="K50" s="332">
        <f ca="1">INDEX(OFFSET('Baseline NFPC'!$D$1:$W$1,$D50-1,0),MATCH(K$4,'Baseline NFPC'!$D$10:$W$10,0))</f>
        <v>1.5989309999999923</v>
      </c>
      <c r="L50" s="332">
        <f ca="1">INDEX(OFFSET('Baseline NFPC'!$D$1:$W$1,$D50-1,0),MATCH(L$4,'Baseline NFPC'!$D$10:$W$10,0))</f>
        <v>1.6630259999999897</v>
      </c>
      <c r="M50" s="332">
        <f ca="1">INDEX(OFFSET('Baseline NFPC'!$D$1:$W$1,$D50-1,0),MATCH(M$4,'Baseline NFPC'!$D$10:$W$10,0))</f>
        <v>1.5770960000000001</v>
      </c>
      <c r="N50" s="332">
        <f ca="1">INDEX(OFFSET('Baseline NFPC'!$D$1:$W$1,$D50-1,0),MATCH(N$4,'Baseline NFPC'!$D$10:$W$10,0))</f>
        <v>1.5250999999999904</v>
      </c>
      <c r="O50" s="332">
        <f ca="1">INDEX(OFFSET('Baseline NFPC'!$D$1:$W$1,$D50-1,0),MATCH(O$4,'Baseline NFPC'!$D$10:$W$10,0))</f>
        <v>1.4996709999999913</v>
      </c>
      <c r="P50" s="332">
        <f ca="1">INDEX(OFFSET('Baseline NFPC'!$D$1:$W$1,$D50-1,0),MATCH(P$4,'Baseline NFPC'!$D$10:$W$10,0))</f>
        <v>1.4724509999999968</v>
      </c>
      <c r="Q50" s="332">
        <f ca="1">INDEX(OFFSET('Baseline NFPC'!$D$1:$W$1,$D50-1,0),MATCH(Q$4,'Baseline NFPC'!$D$10:$W$10,0))</f>
        <v>1.5369170000000043</v>
      </c>
      <c r="R50" s="332">
        <f ca="1">INDEX(OFFSET('Baseline NFPC'!$D$1:$W$1,$D50-1,0),MATCH(R$4,'Baseline NFPC'!$D$10:$W$10,0))</f>
        <v>1.6013870000000097</v>
      </c>
      <c r="S50" s="332">
        <f ca="1">INDEX(OFFSET('Baseline NFPC'!$D$1:$W$1,$D50-1,0),MATCH(S$4,'Baseline NFPC'!$D$10:$W$10,0))</f>
        <v>1.6658569999999928</v>
      </c>
      <c r="T50" s="332">
        <f ca="1">INDEX(OFFSET('Baseline NFPC'!$D$1:$W$1,$D50-1,0),MATCH(T$4,'Baseline NFPC'!$D$10:$W$10,0))</f>
        <v>1.7527700000000035</v>
      </c>
      <c r="U50" s="332">
        <f ca="1">INDEX(OFFSET('Baseline NFPC'!$D$1:$W$1,$D50-1,0),MATCH(U$4,'Baseline NFPC'!$D$10:$W$10,0))</f>
        <v>1.8069420000000003</v>
      </c>
      <c r="V50" s="332">
        <f ca="1">INDEX(OFFSET('Baseline NFPC'!$D$1:$W$1,$D50-1,0),MATCH(V$4,'Baseline NFPC'!$D$10:$W$10,0))</f>
        <v>1.8724879999999944</v>
      </c>
      <c r="W50" s="332">
        <f ca="1">INDEX(OFFSET('Baseline NFPC'!$D$1:$W$1,$D50-1,0),MATCH(W$4,'Baseline NFPC'!$D$10:$W$10,0))</f>
        <v>1.9423069999999987</v>
      </c>
      <c r="X50" s="332">
        <f ca="1">INDEX(OFFSET('Baseline NFPC'!$D$1:$W$1,$D50-1,0),MATCH(X$4,'Baseline NFPC'!$D$10:$W$10,0))</f>
        <v>1.9095040000000063</v>
      </c>
      <c r="Y50" s="271"/>
    </row>
    <row r="51" spans="1:25" x14ac:dyDescent="0.2">
      <c r="A51" s="271"/>
      <c r="B51" s="339">
        <v>11</v>
      </c>
      <c r="C51" s="348" t="s">
        <v>231</v>
      </c>
      <c r="D51" s="344">
        <v>41</v>
      </c>
      <c r="E51" s="345" t="s">
        <v>229</v>
      </c>
      <c r="F51" s="332">
        <f ca="1">INDEX(OFFSET('Baseline NFPC'!$D$1:$W$1,$D51-1,0),MATCH(F$4,'Baseline NFPC'!$D$10:$W$10,0))</f>
        <v>4.7312440000000002</v>
      </c>
      <c r="G51" s="332">
        <f ca="1">INDEX(OFFSET('Baseline NFPC'!$D$1:$W$1,$D51-1,0),MATCH(G$4,'Baseline NFPC'!$D$10:$W$10,0))</f>
        <v>3.7133859999999999</v>
      </c>
      <c r="H51" s="332">
        <f ca="1">INDEX(OFFSET('Baseline NFPC'!$D$1:$W$1,$D51-1,0),MATCH(H$4,'Baseline NFPC'!$D$10:$W$10,0))</f>
        <v>2.3751250000000002</v>
      </c>
      <c r="I51" s="332">
        <f ca="1">INDEX(OFFSET('Baseline NFPC'!$D$1:$W$1,$D51-1,0),MATCH(I$4,'Baseline NFPC'!$D$10:$W$10,0))</f>
        <v>2.3969843750000002</v>
      </c>
      <c r="J51" s="332">
        <f ca="1">INDEX(OFFSET('Baseline NFPC'!$D$1:$W$1,$D51-1,0),MATCH(J$4,'Baseline NFPC'!$D$10:$W$10,0))</f>
        <v>2.4188437500000002</v>
      </c>
      <c r="K51" s="332">
        <f ca="1">INDEX(OFFSET('Baseline NFPC'!$D$1:$W$1,$D51-1,0),MATCH(K$4,'Baseline NFPC'!$D$10:$W$10,0))</f>
        <v>2.4407031250000002</v>
      </c>
      <c r="L51" s="332">
        <f ca="1">INDEX(OFFSET('Baseline NFPC'!$D$1:$W$1,$D51-1,0),MATCH(L$4,'Baseline NFPC'!$D$10:$W$10,0))</f>
        <v>2.4625624999999998</v>
      </c>
      <c r="M51" s="332">
        <f ca="1">INDEX(OFFSET('Baseline NFPC'!$D$1:$W$1,$D51-1,0),MATCH(M$4,'Baseline NFPC'!$D$10:$W$10,0))</f>
        <v>2.4844218749999998</v>
      </c>
      <c r="N51" s="332">
        <f ca="1">INDEX(OFFSET('Baseline NFPC'!$D$1:$W$1,$D51-1,0),MATCH(N$4,'Baseline NFPC'!$D$10:$W$10,0))</f>
        <v>2.5062812499999998</v>
      </c>
      <c r="O51" s="332">
        <f ca="1">INDEX(OFFSET('Baseline NFPC'!$D$1:$W$1,$D51-1,0),MATCH(O$4,'Baseline NFPC'!$D$10:$W$10,0))</f>
        <v>2.5281406249999998</v>
      </c>
      <c r="P51" s="332">
        <f ca="1">INDEX(OFFSET('Baseline NFPC'!$D$1:$W$1,$D51-1,0),MATCH(P$4,'Baseline NFPC'!$D$10:$W$10,0))</f>
        <v>2.5499999999999998</v>
      </c>
      <c r="Q51" s="332">
        <f ca="1">INDEX(OFFSET('Baseline NFPC'!$D$1:$W$1,$D51-1,0),MATCH(Q$4,'Baseline NFPC'!$D$10:$W$10,0))</f>
        <v>2.5225</v>
      </c>
      <c r="R51" s="332">
        <f ca="1">INDEX(OFFSET('Baseline NFPC'!$D$1:$W$1,$D51-1,0),MATCH(R$4,'Baseline NFPC'!$D$10:$W$10,0))</f>
        <v>2.4949999999999997</v>
      </c>
      <c r="S51" s="332">
        <f ca="1">INDEX(OFFSET('Baseline NFPC'!$D$1:$W$1,$D51-1,0),MATCH(S$4,'Baseline NFPC'!$D$10:$W$10,0))</f>
        <v>2.4674999999999998</v>
      </c>
      <c r="T51" s="332">
        <f ca="1">INDEX(OFFSET('Baseline NFPC'!$D$1:$W$1,$D51-1,0),MATCH(T$4,'Baseline NFPC'!$D$10:$W$10,0))</f>
        <v>2.44</v>
      </c>
      <c r="U51" s="332">
        <f ca="1">INDEX(OFFSET('Baseline NFPC'!$D$1:$W$1,$D51-1,0),MATCH(U$4,'Baseline NFPC'!$D$10:$W$10,0))</f>
        <v>2.4124999999999996</v>
      </c>
      <c r="V51" s="332">
        <f ca="1">INDEX(OFFSET('Baseline NFPC'!$D$1:$W$1,$D51-1,0),MATCH(V$4,'Baseline NFPC'!$D$10:$W$10,0))</f>
        <v>2.3849999999999998</v>
      </c>
      <c r="W51" s="332">
        <f ca="1">INDEX(OFFSET('Baseline NFPC'!$D$1:$W$1,$D51-1,0),MATCH(W$4,'Baseline NFPC'!$D$10:$W$10,0))</f>
        <v>2.3574999999999999</v>
      </c>
      <c r="X51" s="332">
        <f ca="1">INDEX(OFFSET('Baseline NFPC'!$D$1:$W$1,$D51-1,0),MATCH(X$4,'Baseline NFPC'!$D$10:$W$10,0))</f>
        <v>2.33</v>
      </c>
      <c r="Y51" s="271"/>
    </row>
    <row r="52" spans="1:25" x14ac:dyDescent="0.2">
      <c r="A52" s="271"/>
      <c r="B52" s="339">
        <v>12</v>
      </c>
      <c r="C52" s="335" t="s">
        <v>232</v>
      </c>
      <c r="D52" s="344">
        <v>32</v>
      </c>
      <c r="E52" s="345" t="s">
        <v>229</v>
      </c>
      <c r="F52" s="332">
        <f ca="1">INDEX(OFFSET('Baseline NFPC'!$D$1:$W$1,$D52-1,0),MATCH(F$4,'Baseline NFPC'!$D$10:$W$10,0))</f>
        <v>7.3089281278882812</v>
      </c>
      <c r="G52" s="332">
        <f ca="1">INDEX(OFFSET('Baseline NFPC'!$D$1:$W$1,$D52-1,0),MATCH(G$4,'Baseline NFPC'!$D$10:$W$10,0))</f>
        <v>6.5951837746716091</v>
      </c>
      <c r="H52" s="332">
        <f ca="1">INDEX(OFFSET('Baseline NFPC'!$D$1:$W$1,$D52-1,0),MATCH(H$4,'Baseline NFPC'!$D$10:$W$10,0))</f>
        <v>5.4581989819325161</v>
      </c>
      <c r="I52" s="332">
        <f ca="1">INDEX(OFFSET('Baseline NFPC'!$D$1:$W$1,$D52-1,0),MATCH(I$4,'Baseline NFPC'!$D$10:$W$10,0))</f>
        <v>4.6482302030670164</v>
      </c>
      <c r="J52" s="332">
        <f ca="1">INDEX(OFFSET('Baseline NFPC'!$D$1:$W$1,$D52-1,0),MATCH(J$4,'Baseline NFPC'!$D$10:$W$10,0))</f>
        <v>3.9977090889159461</v>
      </c>
      <c r="K52" s="332">
        <f ca="1">INDEX(OFFSET('Baseline NFPC'!$D$1:$W$1,$D52-1,0),MATCH(K$4,'Baseline NFPC'!$D$10:$W$10,0))</f>
        <v>4.0786592838835789</v>
      </c>
      <c r="L52" s="332">
        <f ca="1">INDEX(OFFSET('Baseline NFPC'!$D$1:$W$1,$D52-1,0),MATCH(L$4,'Baseline NFPC'!$D$10:$W$10,0))</f>
        <v>4.1665415546412454</v>
      </c>
      <c r="M52" s="332">
        <f ca="1">INDEX(OFFSET('Baseline NFPC'!$D$1:$W$1,$D52-1,0),MATCH(M$4,'Baseline NFPC'!$D$10:$W$10,0))</f>
        <v>4.1006995930137569</v>
      </c>
      <c r="N52" s="332">
        <f ca="1">INDEX(OFFSET('Baseline NFPC'!$D$1:$W$1,$D52-1,0),MATCH(N$4,'Baseline NFPC'!$D$10:$W$10,0))</f>
        <v>4.0696045453437524</v>
      </c>
      <c r="O52" s="332">
        <f ca="1">INDEX(OFFSET('Baseline NFPC'!$D$1:$W$1,$D52-1,0),MATCH(O$4,'Baseline NFPC'!$D$10:$W$10,0))</f>
        <v>4.0657254167923318</v>
      </c>
      <c r="P52" s="332">
        <f ca="1">INDEX(OFFSET('Baseline NFPC'!$D$1:$W$1,$D52-1,0),MATCH(P$4,'Baseline NFPC'!$D$10:$W$10,0))</f>
        <v>4.0599985005000061</v>
      </c>
      <c r="Q52" s="332">
        <f ca="1">INDEX(OFFSET('Baseline NFPC'!$D$1:$W$1,$D52-1,0),MATCH(Q$4,'Baseline NFPC'!$D$10:$W$10,0))</f>
        <v>4.0981857313250103</v>
      </c>
      <c r="R52" s="332">
        <f ca="1">INDEX(OFFSET('Baseline NFPC'!$D$1:$W$1,$D52-1,0),MATCH(R$4,'Baseline NFPC'!$D$10:$W$10,0))</f>
        <v>4.136341605650018</v>
      </c>
      <c r="S52" s="332">
        <f ca="1">INDEX(OFFSET('Baseline NFPC'!$D$1:$W$1,$D52-1,0),MATCH(S$4,'Baseline NFPC'!$D$10:$W$10,0))</f>
        <v>4.1744620214750006</v>
      </c>
      <c r="T52" s="332">
        <f ca="1">INDEX(OFFSET('Baseline NFPC'!$D$1:$W$1,$D52-1,0),MATCH(T$4,'Baseline NFPC'!$D$10:$W$10,0))</f>
        <v>4.2355375879999935</v>
      </c>
      <c r="U52" s="332">
        <f ca="1">INDEX(OFFSET('Baseline NFPC'!$D$1:$W$1,$D52-1,0),MATCH(U$4,'Baseline NFPC'!$D$10:$W$10,0))</f>
        <v>4.2630344757500049</v>
      </c>
      <c r="V52" s="332">
        <f ca="1">INDEX(OFFSET('Baseline NFPC'!$D$1:$W$1,$D52-1,0),MATCH(V$4,'Baseline NFPC'!$D$10:$W$10,0))</f>
        <v>4.3021468387999917</v>
      </c>
      <c r="W52" s="332">
        <f ca="1">INDEX(OFFSET('Baseline NFPC'!$D$1:$W$1,$D52-1,0),MATCH(W$4,'Baseline NFPC'!$D$10:$W$10,0))</f>
        <v>4.3455968875249829</v>
      </c>
      <c r="X52" s="332">
        <f ca="1">INDEX(OFFSET('Baseline NFPC'!$D$1:$W$1,$D52-1,0),MATCH(X$4,'Baseline NFPC'!$D$10:$W$10,0))</f>
        <v>4.2839954432000171</v>
      </c>
      <c r="Y52" s="271"/>
    </row>
    <row r="53" spans="1:25" x14ac:dyDescent="0.2">
      <c r="A53" s="271"/>
      <c r="B53" s="339">
        <v>13</v>
      </c>
      <c r="C53" s="335" t="s">
        <v>68</v>
      </c>
      <c r="D53" s="334"/>
      <c r="E53" s="345" t="s">
        <v>226</v>
      </c>
      <c r="F53" s="351">
        <f>'Input data'!$C$49</f>
        <v>0.75</v>
      </c>
      <c r="G53" s="271"/>
      <c r="H53" s="271"/>
      <c r="I53" s="271"/>
      <c r="J53" s="271"/>
      <c r="K53" s="271"/>
      <c r="L53" s="271"/>
      <c r="M53" s="271"/>
      <c r="N53" s="271"/>
      <c r="O53" s="271"/>
      <c r="P53" s="271"/>
      <c r="Q53" s="271"/>
      <c r="R53" s="271"/>
      <c r="S53" s="271"/>
      <c r="T53" s="271"/>
      <c r="U53" s="271"/>
      <c r="V53" s="271"/>
      <c r="W53" s="271"/>
      <c r="X53" s="271"/>
      <c r="Y53" s="271"/>
    </row>
    <row r="54" spans="1:25" x14ac:dyDescent="0.2">
      <c r="A54" s="271"/>
      <c r="B54" s="333"/>
      <c r="C54" s="354"/>
      <c r="D54" s="354"/>
      <c r="E54" s="354"/>
      <c r="F54" s="354"/>
      <c r="G54" s="354"/>
      <c r="H54" s="354"/>
      <c r="I54" s="354"/>
      <c r="J54" s="354"/>
      <c r="K54" s="271"/>
      <c r="L54" s="271"/>
      <c r="M54" s="271"/>
      <c r="N54" s="271"/>
      <c r="O54" s="271"/>
      <c r="P54" s="271"/>
      <c r="Q54" s="271"/>
      <c r="R54" s="271"/>
      <c r="S54" s="271"/>
      <c r="T54" s="271"/>
      <c r="U54" s="271"/>
      <c r="V54" s="271"/>
      <c r="W54" s="271"/>
      <c r="X54" s="271"/>
      <c r="Y54" s="271"/>
    </row>
    <row r="55" spans="1:25" x14ac:dyDescent="0.2">
      <c r="A55" s="271"/>
      <c r="B55" s="355"/>
      <c r="C55" s="337" t="s">
        <v>238</v>
      </c>
      <c r="D55" s="338"/>
      <c r="E55" s="338"/>
      <c r="F55" s="338"/>
      <c r="G55" s="354"/>
      <c r="H55" s="354"/>
      <c r="I55" s="354"/>
      <c r="J55" s="354"/>
      <c r="K55" s="271"/>
      <c r="L55" s="271"/>
      <c r="M55" s="271"/>
      <c r="N55" s="271"/>
      <c r="O55" s="271"/>
      <c r="P55" s="271"/>
      <c r="Q55" s="271"/>
      <c r="R55" s="271"/>
      <c r="S55" s="271"/>
      <c r="T55" s="271"/>
      <c r="U55" s="271"/>
      <c r="V55" s="271"/>
      <c r="W55" s="271"/>
      <c r="X55" s="271"/>
      <c r="Y55" s="271"/>
    </row>
    <row r="56" spans="1:25" x14ac:dyDescent="0.2">
      <c r="A56" s="271"/>
      <c r="B56" s="333"/>
      <c r="C56" s="354"/>
      <c r="D56" s="354"/>
      <c r="E56" s="354"/>
      <c r="F56" s="354"/>
      <c r="G56" s="354"/>
      <c r="H56" s="354"/>
      <c r="I56" s="354"/>
      <c r="J56" s="354"/>
      <c r="K56" s="271"/>
      <c r="L56" s="271"/>
      <c r="M56" s="271"/>
      <c r="N56" s="271"/>
      <c r="O56" s="271"/>
      <c r="P56" s="271"/>
      <c r="Q56" s="271"/>
      <c r="R56" s="271"/>
      <c r="S56" s="271"/>
      <c r="T56" s="271"/>
      <c r="U56" s="271"/>
      <c r="V56" s="271"/>
      <c r="W56" s="271"/>
      <c r="X56" s="271"/>
      <c r="Y56" s="271"/>
    </row>
    <row r="57" spans="1:25" x14ac:dyDescent="0.2">
      <c r="A57" s="271"/>
      <c r="B57" s="339"/>
      <c r="C57" s="337"/>
      <c r="D57" s="337"/>
      <c r="E57" s="342"/>
      <c r="F57" s="342">
        <f>'Input data'!$C$5-1</f>
        <v>2023</v>
      </c>
      <c r="G57" s="342">
        <f>F57+1</f>
        <v>2024</v>
      </c>
      <c r="H57" s="342">
        <f t="shared" ref="H57:X57" si="5">G57+1</f>
        <v>2025</v>
      </c>
      <c r="I57" s="342">
        <f t="shared" si="5"/>
        <v>2026</v>
      </c>
      <c r="J57" s="342">
        <f t="shared" si="5"/>
        <v>2027</v>
      </c>
      <c r="K57" s="342">
        <f t="shared" si="5"/>
        <v>2028</v>
      </c>
      <c r="L57" s="342">
        <f t="shared" si="5"/>
        <v>2029</v>
      </c>
      <c r="M57" s="342">
        <f t="shared" si="5"/>
        <v>2030</v>
      </c>
      <c r="N57" s="342">
        <f t="shared" si="5"/>
        <v>2031</v>
      </c>
      <c r="O57" s="342">
        <f t="shared" si="5"/>
        <v>2032</v>
      </c>
      <c r="P57" s="342">
        <f t="shared" si="5"/>
        <v>2033</v>
      </c>
      <c r="Q57" s="342">
        <f t="shared" si="5"/>
        <v>2034</v>
      </c>
      <c r="R57" s="342">
        <f t="shared" si="5"/>
        <v>2035</v>
      </c>
      <c r="S57" s="342">
        <f t="shared" si="5"/>
        <v>2036</v>
      </c>
      <c r="T57" s="342">
        <f t="shared" si="5"/>
        <v>2037</v>
      </c>
      <c r="U57" s="342">
        <f t="shared" si="5"/>
        <v>2038</v>
      </c>
      <c r="V57" s="342">
        <f t="shared" si="5"/>
        <v>2039</v>
      </c>
      <c r="W57" s="342">
        <f t="shared" si="5"/>
        <v>2040</v>
      </c>
      <c r="X57" s="342">
        <f t="shared" si="5"/>
        <v>2041</v>
      </c>
      <c r="Y57" s="271"/>
    </row>
    <row r="58" spans="1:25" x14ac:dyDescent="0.2">
      <c r="A58" s="271"/>
      <c r="B58" s="339">
        <v>1</v>
      </c>
      <c r="C58" s="343" t="s">
        <v>219</v>
      </c>
      <c r="D58" s="344">
        <v>100</v>
      </c>
      <c r="E58" s="345" t="s">
        <v>220</v>
      </c>
      <c r="F58" s="332">
        <f ca="1">INDEX(OFFSET('Adjustment scenario'!$D$1:$W$1,$D58-1,0),MATCH(F$4,'Adjustment scenario'!$D$10:$W$10,0))</f>
        <v>77.284440321959977</v>
      </c>
      <c r="G58" s="332">
        <f ca="1">INDEX(OFFSET('Adjustment scenario'!$D$1:$W$1,$D58-1,0),MATCH(G$4,'Adjustment scenario'!$D$10:$W$10,0))</f>
        <v>70.579945075187567</v>
      </c>
      <c r="H58" s="332">
        <f ca="1">INDEX(OFFSET('Adjustment scenario'!$D$1:$W$1,$D58-1,0),MATCH(H$4,'Adjustment scenario'!$D$10:$W$10,0))</f>
        <v>65.467738950078513</v>
      </c>
      <c r="I58" s="332">
        <f ca="1">INDEX(OFFSET('Adjustment scenario'!$D$1:$W$1,$D58-1,0),MATCH(I$4,'Adjustment scenario'!$D$10:$W$10,0))</f>
        <v>59.991048043186375</v>
      </c>
      <c r="J58" s="332">
        <f ca="1">INDEX(OFFSET('Adjustment scenario'!$D$1:$W$1,$D58-1,0),MATCH(J$4,'Adjustment scenario'!$D$10:$W$10,0))</f>
        <v>55.344336413083951</v>
      </c>
      <c r="K58" s="332">
        <f ca="1">INDEX(OFFSET('Adjustment scenario'!$D$1:$W$1,$D58-1,0),MATCH(K$4,'Adjustment scenario'!$D$10:$W$10,0))</f>
        <v>50.929639670376446</v>
      </c>
      <c r="L58" s="332">
        <f ca="1">INDEX(OFFSET('Adjustment scenario'!$D$1:$W$1,$D58-1,0),MATCH(L$4,'Adjustment scenario'!$D$10:$W$10,0))</f>
        <v>46.496687645996076</v>
      </c>
      <c r="M58" s="332">
        <f ca="1">INDEX(OFFSET('Adjustment scenario'!$D$1:$W$1,$D58-1,0),MATCH(M$4,'Adjustment scenario'!$D$10:$W$10,0))</f>
        <v>42.459373869564104</v>
      </c>
      <c r="N58" s="332">
        <f ca="1">INDEX(OFFSET('Adjustment scenario'!$D$1:$W$1,$D58-1,0),MATCH(N$4,'Adjustment scenario'!$D$10:$W$10,0))</f>
        <v>38.775312732290452</v>
      </c>
      <c r="O58" s="332">
        <f ca="1">INDEX(OFFSET('Adjustment scenario'!$D$1:$W$1,$D58-1,0),MATCH(O$4,'Adjustment scenario'!$D$10:$W$10,0))</f>
        <v>35.374126048899576</v>
      </c>
      <c r="P58" s="332">
        <f ca="1">INDEX(OFFSET('Adjustment scenario'!$D$1:$W$1,$D58-1,0),MATCH(P$4,'Adjustment scenario'!$D$10:$W$10,0))</f>
        <v>32.262514939085712</v>
      </c>
      <c r="Q58" s="332">
        <f ca="1">INDEX(OFFSET('Adjustment scenario'!$D$1:$W$1,$D58-1,0),MATCH(Q$4,'Adjustment scenario'!$D$10:$W$10,0))</f>
        <v>29.340409626930629</v>
      </c>
      <c r="R58" s="332">
        <f ca="1">INDEX(OFFSET('Adjustment scenario'!$D$1:$W$1,$D58-1,0),MATCH(R$4,'Adjustment scenario'!$D$10:$W$10,0))</f>
        <v>26.665659419907424</v>
      </c>
      <c r="S58" s="332">
        <f ca="1">INDEX(OFFSET('Adjustment scenario'!$D$1:$W$1,$D58-1,0),MATCH(S$4,'Adjustment scenario'!$D$10:$W$10,0))</f>
        <v>24.168336235214824</v>
      </c>
      <c r="T58" s="332">
        <f ca="1">INDEX(OFFSET('Adjustment scenario'!$D$1:$W$1,$D58-1,0),MATCH(T$4,'Adjustment scenario'!$D$10:$W$10,0))</f>
        <v>21.808684985207471</v>
      </c>
      <c r="U58" s="332">
        <f ca="1">INDEX(OFFSET('Adjustment scenario'!$D$1:$W$1,$D58-1,0),MATCH(U$4,'Adjustment scenario'!$D$10:$W$10,0))</f>
        <v>19.585857825183712</v>
      </c>
      <c r="V58" s="332">
        <f ca="1">INDEX(OFFSET('Adjustment scenario'!$D$1:$W$1,$D58-1,0),MATCH(V$4,'Adjustment scenario'!$D$10:$W$10,0))</f>
        <v>17.188179668616968</v>
      </c>
      <c r="W58" s="332">
        <f ca="1">INDEX(OFFSET('Adjustment scenario'!$D$1:$W$1,$D58-1,0),MATCH(W$4,'Adjustment scenario'!$D$10:$W$10,0))</f>
        <v>15.006288509813091</v>
      </c>
      <c r="X58" s="332">
        <f ca="1">INDEX(OFFSET('Adjustment scenario'!$D$1:$W$1,$D58-1,0),MATCH(X$4,'Adjustment scenario'!$D$10:$W$10,0))</f>
        <v>12.883662123244543</v>
      </c>
      <c r="Y58" s="271"/>
    </row>
    <row r="59" spans="1:25" x14ac:dyDescent="0.2">
      <c r="A59" s="271"/>
      <c r="B59" s="339">
        <f>B58+1</f>
        <v>2</v>
      </c>
      <c r="C59" s="346" t="s">
        <v>128</v>
      </c>
      <c r="D59" s="344">
        <v>102</v>
      </c>
      <c r="E59" s="345" t="s">
        <v>220</v>
      </c>
      <c r="F59" s="332">
        <f ca="1">INDEX(OFFSET('Adjustment scenario'!$D$1:$W$1,$D59-1,0),MATCH(F$4,'Adjustment scenario'!$D$10:$W$10,0))</f>
        <v>2.6058483973222213</v>
      </c>
      <c r="G59" s="332">
        <f ca="1">INDEX(OFFSET('Adjustment scenario'!$D$1:$W$1,$D59-1,0),MATCH(G$4,'Adjustment scenario'!$D$10:$W$10,0))</f>
        <v>5.1759171739107712</v>
      </c>
      <c r="H59" s="332">
        <f ca="1">INDEX(OFFSET('Adjustment scenario'!$D$1:$W$1,$D59-1,0),MATCH(H$4,'Adjustment scenario'!$D$10:$W$10,0))</f>
        <v>6.3811475370972586</v>
      </c>
      <c r="I59" s="332">
        <f ca="1">INDEX(OFFSET('Adjustment scenario'!$D$1:$W$1,$D59-1,0),MATCH(I$4,'Adjustment scenario'!$D$10:$W$10,0))</f>
        <v>6.1104905546643487</v>
      </c>
      <c r="J59" s="332">
        <f ca="1">INDEX(OFFSET('Adjustment scenario'!$D$1:$W$1,$D59-1,0),MATCH(J$4,'Adjustment scenario'!$D$10:$W$10,0))</f>
        <v>5.5656309792495504</v>
      </c>
      <c r="K59" s="332">
        <f ca="1">INDEX(OFFSET('Adjustment scenario'!$D$1:$W$1,$D59-1,0),MATCH(K$4,'Adjustment scenario'!$D$10:$W$10,0))</f>
        <v>5.3331674336658734</v>
      </c>
      <c r="L59" s="332">
        <f ca="1">INDEX(OFFSET('Adjustment scenario'!$D$1:$W$1,$D59-1,0),MATCH(L$4,'Adjustment scenario'!$D$10:$W$10,0))</f>
        <v>4.4142231064095441</v>
      </c>
      <c r="M59" s="332">
        <f ca="1">INDEX(OFFSET('Adjustment scenario'!$D$1:$W$1,$D59-1,0),MATCH(M$4,'Adjustment scenario'!$D$10:$W$10,0))</f>
        <v>3.3964358759633804</v>
      </c>
      <c r="N59" s="332">
        <f ca="1">INDEX(OFFSET('Adjustment scenario'!$D$1:$W$1,$D59-1,0),MATCH(N$4,'Adjustment scenario'!$D$10:$W$10,0))</f>
        <v>3.2261692571075273</v>
      </c>
      <c r="O59" s="332">
        <f ca="1">INDEX(OFFSET('Adjustment scenario'!$D$1:$W$1,$D59-1,0),MATCH(O$4,'Adjustment scenario'!$D$10:$W$10,0))</f>
        <v>0.81055627933492325</v>
      </c>
      <c r="P59" s="332">
        <f ca="1">INDEX(OFFSET('Adjustment scenario'!$D$1:$W$1,$D59-1,0),MATCH(P$4,'Adjustment scenario'!$D$10:$W$10,0))</f>
        <v>0.60669370044255577</v>
      </c>
      <c r="Q59" s="332">
        <f ca="1">INDEX(OFFSET('Adjustment scenario'!$D$1:$W$1,$D59-1,0),MATCH(Q$4,'Adjustment scenario'!$D$10:$W$10,0))</f>
        <v>0.45793981701202541</v>
      </c>
      <c r="R59" s="332">
        <f ca="1">INDEX(OFFSET('Adjustment scenario'!$D$1:$W$1,$D59-1,0),MATCH(R$4,'Adjustment scenario'!$D$10:$W$10,0))</f>
        <v>0.40902881384191642</v>
      </c>
      <c r="S59" s="332">
        <f ca="1">INDEX(OFFSET('Adjustment scenario'!$D$1:$W$1,$D59-1,0),MATCH(S$4,'Adjustment scenario'!$D$10:$W$10,0))</f>
        <v>0.30332232740418918</v>
      </c>
      <c r="T59" s="332">
        <f ca="1">INDEX(OFFSET('Adjustment scenario'!$D$1:$W$1,$D59-1,0),MATCH(T$4,'Adjustment scenario'!$D$10:$W$10,0))</f>
        <v>0.22738507160822716</v>
      </c>
      <c r="U59" s="332">
        <f ca="1">INDEX(OFFSET('Adjustment scenario'!$D$1:$W$1,$D59-1,0),MATCH(U$4,'Adjustment scenario'!$D$10:$W$10,0))</f>
        <v>6.2566711806775005E-2</v>
      </c>
      <c r="V59" s="332">
        <f ca="1">INDEX(OFFSET('Adjustment scenario'!$D$1:$W$1,$D59-1,0),MATCH(V$4,'Adjustment scenario'!$D$10:$W$10,0))</f>
        <v>0</v>
      </c>
      <c r="W59" s="332">
        <f ca="1">INDEX(OFFSET('Adjustment scenario'!$D$1:$W$1,$D59-1,0),MATCH(W$4,'Adjustment scenario'!$D$10:$W$10,0))</f>
        <v>0</v>
      </c>
      <c r="X59" s="332">
        <f ca="1">INDEX(OFFSET('Adjustment scenario'!$D$1:$W$1,$D59-1,0),MATCH(X$4,'Adjustment scenario'!$D$10:$W$10,0))</f>
        <v>0</v>
      </c>
      <c r="Y59" s="271"/>
    </row>
    <row r="60" spans="1:25" x14ac:dyDescent="0.2">
      <c r="A60" s="271"/>
      <c r="B60" s="339">
        <f t="shared" ref="B60:B62" si="6">B59+1</f>
        <v>3</v>
      </c>
      <c r="C60" s="346" t="s">
        <v>129</v>
      </c>
      <c r="D60" s="344">
        <v>103</v>
      </c>
      <c r="E60" s="345" t="s">
        <v>220</v>
      </c>
      <c r="F60" s="332">
        <f ca="1">INDEX(OFFSET('Adjustment scenario'!$D$1:$W$1,$D60-1,0),MATCH(F$4,'Adjustment scenario'!$D$10:$W$10,0))</f>
        <v>0.49429217227879385</v>
      </c>
      <c r="G60" s="332">
        <f ca="1">INDEX(OFFSET('Adjustment scenario'!$D$1:$W$1,$D60-1,0),MATCH(G$4,'Adjustment scenario'!$D$10:$W$10,0))</f>
        <v>0.34391018940216095</v>
      </c>
      <c r="H60" s="332">
        <f ca="1">INDEX(OFFSET('Adjustment scenario'!$D$1:$W$1,$D60-1,0),MATCH(H$4,'Adjustment scenario'!$D$10:$W$10,0))</f>
        <v>0.26741849493307074</v>
      </c>
      <c r="I60" s="332">
        <f ca="1">INDEX(OFFSET('Adjustment scenario'!$D$1:$W$1,$D60-1,0),MATCH(I$4,'Adjustment scenario'!$D$10:$W$10,0))</f>
        <v>0.18145792196909175</v>
      </c>
      <c r="J60" s="332">
        <f ca="1">INDEX(OFFSET('Adjustment scenario'!$D$1:$W$1,$D60-1,0),MATCH(J$4,'Adjustment scenario'!$D$10:$W$10,0))</f>
        <v>0.12362262768419337</v>
      </c>
      <c r="K60" s="332">
        <f ca="1">INDEX(OFFSET('Adjustment scenario'!$D$1:$W$1,$D60-1,0),MATCH(K$4,'Adjustment scenario'!$D$10:$W$10,0))</f>
        <v>8.3966870091188764E-2</v>
      </c>
      <c r="L60" s="332">
        <f ca="1">INDEX(OFFSET('Adjustment scenario'!$D$1:$W$1,$D60-1,0),MATCH(L$4,'Adjustment scenario'!$D$10:$W$10,0))</f>
        <v>5.2466513092552541E-2</v>
      </c>
      <c r="M60" s="332">
        <f ca="1">INDEX(OFFSET('Adjustment scenario'!$D$1:$W$1,$D60-1,0),MATCH(M$4,'Adjustment scenario'!$D$10:$W$10,0))</f>
        <v>3.0663980360727802E-2</v>
      </c>
      <c r="N60" s="332">
        <f ca="1">INDEX(OFFSET('Adjustment scenario'!$D$1:$W$1,$D60-1,0),MATCH(N$4,'Adjustment scenario'!$D$10:$W$10,0))</f>
        <v>1.814598037573821E-2</v>
      </c>
      <c r="O60" s="332">
        <f ca="1">INDEX(OFFSET('Adjustment scenario'!$D$1:$W$1,$D60-1,0),MATCH(O$4,'Adjustment scenario'!$D$10:$W$10,0))</f>
        <v>5.2646056278890596E-3</v>
      </c>
      <c r="P60" s="332">
        <f ca="1">INDEX(OFFSET('Adjustment scenario'!$D$1:$W$1,$D60-1,0),MATCH(P$4,'Adjustment scenario'!$D$10:$W$10,0))</f>
        <v>1.3148468598516609E-3</v>
      </c>
      <c r="Q60" s="332">
        <f ca="1">INDEX(OFFSET('Adjustment scenario'!$D$1:$W$1,$D60-1,0),MATCH(Q$4,'Adjustment scenario'!$D$10:$W$10,0))</f>
        <v>2.7426988376361969E-4</v>
      </c>
      <c r="R60" s="332">
        <f ca="1">INDEX(OFFSET('Adjustment scenario'!$D$1:$W$1,$D60-1,0),MATCH(R$4,'Adjustment scenario'!$D$10:$W$10,0))</f>
        <v>5.6162365215937796E-5</v>
      </c>
      <c r="S60" s="332">
        <f ca="1">INDEX(OFFSET('Adjustment scenario'!$D$1:$W$1,$D60-1,0),MATCH(S$4,'Adjustment scenario'!$D$10:$W$10,0))</f>
        <v>9.441169562582025E-6</v>
      </c>
      <c r="T60" s="332">
        <f ca="1">INDEX(OFFSET('Adjustment scenario'!$D$1:$W$1,$D60-1,0),MATCH(T$4,'Adjustment scenario'!$D$10:$W$10,0))</f>
        <v>1.283235318611989E-6</v>
      </c>
      <c r="U60" s="332">
        <f ca="1">INDEX(OFFSET('Adjustment scenario'!$D$1:$W$1,$D60-1,0),MATCH(U$4,'Adjustment scenario'!$D$10:$W$10,0))</f>
        <v>5.525247505201851E-8</v>
      </c>
      <c r="V60" s="332">
        <f ca="1">INDEX(OFFSET('Adjustment scenario'!$D$1:$W$1,$D60-1,0),MATCH(V$4,'Adjustment scenario'!$D$10:$W$10,0))</f>
        <v>0</v>
      </c>
      <c r="W60" s="332">
        <f ca="1">INDEX(OFFSET('Adjustment scenario'!$D$1:$W$1,$D60-1,0),MATCH(W$4,'Adjustment scenario'!$D$10:$W$10,0))</f>
        <v>0</v>
      </c>
      <c r="X60" s="332">
        <f ca="1">INDEX(OFFSET('Adjustment scenario'!$D$1:$W$1,$D60-1,0),MATCH(X$4,'Adjustment scenario'!$D$10:$W$10,0))</f>
        <v>0</v>
      </c>
      <c r="Y60" s="271"/>
    </row>
    <row r="61" spans="1:25" x14ac:dyDescent="0.2">
      <c r="A61" s="271"/>
      <c r="B61" s="339">
        <f t="shared" si="6"/>
        <v>4</v>
      </c>
      <c r="C61" s="346" t="s">
        <v>130</v>
      </c>
      <c r="D61" s="344">
        <v>104</v>
      </c>
      <c r="E61" s="345" t="s">
        <v>220</v>
      </c>
      <c r="F61" s="332">
        <f ca="1">INDEX(OFFSET('Adjustment scenario'!$D$1:$W$1,$D61-1,0),MATCH(F$4,'Adjustment scenario'!$D$10:$W$10,0))</f>
        <v>0</v>
      </c>
      <c r="G61" s="332">
        <f ca="1">INDEX(OFFSET('Adjustment scenario'!$D$1:$W$1,$D61-1,0),MATCH(G$4,'Adjustment scenario'!$D$10:$W$10,0))</f>
        <v>0</v>
      </c>
      <c r="H61" s="332">
        <f ca="1">INDEX(OFFSET('Adjustment scenario'!$D$1:$W$1,$D61-1,0),MATCH(H$4,'Adjustment scenario'!$D$10:$W$10,0))</f>
        <v>0</v>
      </c>
      <c r="I61" s="332">
        <f ca="1">INDEX(OFFSET('Adjustment scenario'!$D$1:$W$1,$D61-1,0),MATCH(I$4,'Adjustment scenario'!$D$10:$W$10,0))</f>
        <v>0</v>
      </c>
      <c r="J61" s="332">
        <f ca="1">INDEX(OFFSET('Adjustment scenario'!$D$1:$W$1,$D61-1,0),MATCH(J$4,'Adjustment scenario'!$D$10:$W$10,0))</f>
        <v>0</v>
      </c>
      <c r="K61" s="332">
        <f ca="1">INDEX(OFFSET('Adjustment scenario'!$D$1:$W$1,$D61-1,0),MATCH(K$4,'Adjustment scenario'!$D$10:$W$10,0))</f>
        <v>0</v>
      </c>
      <c r="L61" s="332">
        <f ca="1">INDEX(OFFSET('Adjustment scenario'!$D$1:$W$1,$D61-1,0),MATCH(L$4,'Adjustment scenario'!$D$10:$W$10,0))</f>
        <v>0</v>
      </c>
      <c r="M61" s="332">
        <f ca="1">INDEX(OFFSET('Adjustment scenario'!$D$1:$W$1,$D61-1,0),MATCH(M$4,'Adjustment scenario'!$D$10:$W$10,0))</f>
        <v>0</v>
      </c>
      <c r="N61" s="332">
        <f ca="1">INDEX(OFFSET('Adjustment scenario'!$D$1:$W$1,$D61-1,0),MATCH(N$4,'Adjustment scenario'!$D$10:$W$10,0))</f>
        <v>0</v>
      </c>
      <c r="O61" s="332">
        <f ca="1">INDEX(OFFSET('Adjustment scenario'!$D$1:$W$1,$D61-1,0),MATCH(O$4,'Adjustment scenario'!$D$10:$W$10,0))</f>
        <v>0</v>
      </c>
      <c r="P61" s="332">
        <f ca="1">INDEX(OFFSET('Adjustment scenario'!$D$1:$W$1,$D61-1,0),MATCH(P$4,'Adjustment scenario'!$D$10:$W$10,0))</f>
        <v>0</v>
      </c>
      <c r="Q61" s="332">
        <f ca="1">INDEX(OFFSET('Adjustment scenario'!$D$1:$W$1,$D61-1,0),MATCH(Q$4,'Adjustment scenario'!$D$10:$W$10,0))</f>
        <v>0</v>
      </c>
      <c r="R61" s="332">
        <f ca="1">INDEX(OFFSET('Adjustment scenario'!$D$1:$W$1,$D61-1,0),MATCH(R$4,'Adjustment scenario'!$D$10:$W$10,0))</f>
        <v>0</v>
      </c>
      <c r="S61" s="332">
        <f ca="1">INDEX(OFFSET('Adjustment scenario'!$D$1:$W$1,$D61-1,0),MATCH(S$4,'Adjustment scenario'!$D$10:$W$10,0))</f>
        <v>0</v>
      </c>
      <c r="T61" s="332">
        <f ca="1">INDEX(OFFSET('Adjustment scenario'!$D$1:$W$1,$D61-1,0),MATCH(T$4,'Adjustment scenario'!$D$10:$W$10,0))</f>
        <v>0</v>
      </c>
      <c r="U61" s="332">
        <f ca="1">INDEX(OFFSET('Adjustment scenario'!$D$1:$W$1,$D61-1,0),MATCH(U$4,'Adjustment scenario'!$D$10:$W$10,0))</f>
        <v>0</v>
      </c>
      <c r="V61" s="332">
        <f ca="1">INDEX(OFFSET('Adjustment scenario'!$D$1:$W$1,$D61-1,0),MATCH(V$4,'Adjustment scenario'!$D$10:$W$10,0))</f>
        <v>0</v>
      </c>
      <c r="W61" s="332">
        <f ca="1">INDEX(OFFSET('Adjustment scenario'!$D$1:$W$1,$D61-1,0),MATCH(W$4,'Adjustment scenario'!$D$10:$W$10,0))</f>
        <v>0</v>
      </c>
      <c r="X61" s="332">
        <f ca="1">INDEX(OFFSET('Adjustment scenario'!$D$1:$W$1,$D61-1,0),MATCH(X$4,'Adjustment scenario'!$D$10:$W$10,0))</f>
        <v>0</v>
      </c>
      <c r="Y61" s="271"/>
    </row>
    <row r="62" spans="1:25" x14ac:dyDescent="0.2">
      <c r="A62" s="271"/>
      <c r="B62" s="339">
        <f t="shared" si="6"/>
        <v>5</v>
      </c>
      <c r="C62" s="346" t="s">
        <v>131</v>
      </c>
      <c r="D62" s="344">
        <v>105</v>
      </c>
      <c r="E62" s="345" t="s">
        <v>220</v>
      </c>
      <c r="F62" s="332">
        <f ca="1">INDEX(OFFSET('Adjustment scenario'!$D$1:$W$1,$D62-1,0),MATCH(F$4,'Adjustment scenario'!$D$10:$W$10,0))</f>
        <v>0</v>
      </c>
      <c r="G62" s="332">
        <f ca="1">INDEX(OFFSET('Adjustment scenario'!$D$1:$W$1,$D62-1,0),MATCH(G$4,'Adjustment scenario'!$D$10:$W$10,0))</f>
        <v>0</v>
      </c>
      <c r="H62" s="332">
        <f ca="1">INDEX(OFFSET('Adjustment scenario'!$D$1:$W$1,$D62-1,0),MATCH(H$4,'Adjustment scenario'!$D$10:$W$10,0))</f>
        <v>0</v>
      </c>
      <c r="I62" s="332">
        <f ca="1">INDEX(OFFSET('Adjustment scenario'!$D$1:$W$1,$D62-1,0),MATCH(I$4,'Adjustment scenario'!$D$10:$W$10,0))</f>
        <v>0</v>
      </c>
      <c r="J62" s="332">
        <f ca="1">INDEX(OFFSET('Adjustment scenario'!$D$1:$W$1,$D62-1,0),MATCH(J$4,'Adjustment scenario'!$D$10:$W$10,0))</f>
        <v>0</v>
      </c>
      <c r="K62" s="332">
        <f ca="1">INDEX(OFFSET('Adjustment scenario'!$D$1:$W$1,$D62-1,0),MATCH(K$4,'Adjustment scenario'!$D$10:$W$10,0))</f>
        <v>0</v>
      </c>
      <c r="L62" s="332">
        <f ca="1">INDEX(OFFSET('Adjustment scenario'!$D$1:$W$1,$D62-1,0),MATCH(L$4,'Adjustment scenario'!$D$10:$W$10,0))</f>
        <v>0</v>
      </c>
      <c r="M62" s="332">
        <f ca="1">INDEX(OFFSET('Adjustment scenario'!$D$1:$W$1,$D62-1,0),MATCH(M$4,'Adjustment scenario'!$D$10:$W$10,0))</f>
        <v>0</v>
      </c>
      <c r="N62" s="332">
        <f ca="1">INDEX(OFFSET('Adjustment scenario'!$D$1:$W$1,$D62-1,0),MATCH(N$4,'Adjustment scenario'!$D$10:$W$10,0))</f>
        <v>0</v>
      </c>
      <c r="O62" s="332">
        <f ca="1">INDEX(OFFSET('Adjustment scenario'!$D$1:$W$1,$D62-1,0),MATCH(O$4,'Adjustment scenario'!$D$10:$W$10,0))</f>
        <v>0</v>
      </c>
      <c r="P62" s="332">
        <f ca="1">INDEX(OFFSET('Adjustment scenario'!$D$1:$W$1,$D62-1,0),MATCH(P$4,'Adjustment scenario'!$D$10:$W$10,0))</f>
        <v>0</v>
      </c>
      <c r="Q62" s="332">
        <f ca="1">INDEX(OFFSET('Adjustment scenario'!$D$1:$W$1,$D62-1,0),MATCH(Q$4,'Adjustment scenario'!$D$10:$W$10,0))</f>
        <v>0</v>
      </c>
      <c r="R62" s="332">
        <f ca="1">INDEX(OFFSET('Adjustment scenario'!$D$1:$W$1,$D62-1,0),MATCH(R$4,'Adjustment scenario'!$D$10:$W$10,0))</f>
        <v>0</v>
      </c>
      <c r="S62" s="332">
        <f ca="1">INDEX(OFFSET('Adjustment scenario'!$D$1:$W$1,$D62-1,0),MATCH(S$4,'Adjustment scenario'!$D$10:$W$10,0))</f>
        <v>0</v>
      </c>
      <c r="T62" s="332">
        <f ca="1">INDEX(OFFSET('Adjustment scenario'!$D$1:$W$1,$D62-1,0),MATCH(T$4,'Adjustment scenario'!$D$10:$W$10,0))</f>
        <v>0</v>
      </c>
      <c r="U62" s="332">
        <f ca="1">INDEX(OFFSET('Adjustment scenario'!$D$1:$W$1,$D62-1,0),MATCH(U$4,'Adjustment scenario'!$D$10:$W$10,0))</f>
        <v>0</v>
      </c>
      <c r="V62" s="332">
        <f ca="1">INDEX(OFFSET('Adjustment scenario'!$D$1:$W$1,$D62-1,0),MATCH(V$4,'Adjustment scenario'!$D$10:$W$10,0))</f>
        <v>0</v>
      </c>
      <c r="W62" s="332">
        <f ca="1">INDEX(OFFSET('Adjustment scenario'!$D$1:$W$1,$D62-1,0),MATCH(W$4,'Adjustment scenario'!$D$10:$W$10,0))</f>
        <v>0</v>
      </c>
      <c r="X62" s="332">
        <f ca="1">INDEX(OFFSET('Adjustment scenario'!$D$1:$W$1,$D62-1,0),MATCH(X$4,'Adjustment scenario'!$D$10:$W$10,0))</f>
        <v>0</v>
      </c>
      <c r="Y62" s="271"/>
    </row>
    <row r="63" spans="1:25"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sheetData>
  <conditionalFormatting sqref="V4:X63">
    <cfRule type="expression" dxfId="0"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2.75" x14ac:dyDescent="0.2"/>
  <cols>
    <col min="13" max="13" width="9.85546875" customWidth="1"/>
  </cols>
  <sheetData>
    <row r="1" spans="1:14" x14ac:dyDescent="0.2">
      <c r="A1" t="s">
        <v>205</v>
      </c>
      <c r="B1" t="s">
        <v>206</v>
      </c>
      <c r="C1" t="s">
        <v>207</v>
      </c>
      <c r="D1" t="s">
        <v>208</v>
      </c>
      <c r="E1" t="s">
        <v>209</v>
      </c>
      <c r="F1" t="s">
        <v>210</v>
      </c>
      <c r="G1" t="s">
        <v>211</v>
      </c>
      <c r="H1" t="s">
        <v>212</v>
      </c>
      <c r="I1" t="s">
        <v>213</v>
      </c>
      <c r="J1" t="s">
        <v>214</v>
      </c>
      <c r="K1" t="s">
        <v>215</v>
      </c>
      <c r="L1" t="s">
        <v>216</v>
      </c>
    </row>
    <row r="2" spans="1:14" x14ac:dyDescent="0.2">
      <c r="A2" t="str">
        <f>'Adjustment scenario'!C$3</f>
        <v>CY</v>
      </c>
      <c r="B2">
        <v>2021</v>
      </c>
      <c r="C2" s="7" cm="1">
        <f t="array" ref="C2:C22">TRANSPOSE('Adjust. no safeguard'!C12:W12)</f>
        <v>-1.437066</v>
      </c>
      <c r="D2" s="7">
        <v>1</v>
      </c>
      <c r="E2" s="7" cm="1">
        <f t="array" ref="E2:E22">TRANSPOSE('Adjust. no safeguard'!C62:W62)</f>
        <v>0</v>
      </c>
      <c r="F2" s="7" cm="1">
        <f t="array" ref="F2:F22">TRANSPOSE('Adjust. no safeguard'!C24:W24)</f>
        <v>9.9113959999999999</v>
      </c>
      <c r="G2" s="7" cm="1">
        <f t="array" ref="G2:G22">TRANSPOSE('Adjust. no safeguard'!C42:W42)</f>
        <v>2.685441</v>
      </c>
      <c r="H2" s="7" cm="1">
        <f t="array" ref="H2:H22">TRANSPOSE('Adjust. no safeguard'!C14:W14)</f>
        <v>8.0633499999999997E-2</v>
      </c>
      <c r="I2" s="7" cm="1">
        <f t="array" ref="I2:I22">TRANSPOSE('Adjust. no safeguard'!C15:W15)</f>
        <v>-4.4074220000000004</v>
      </c>
      <c r="J2" s="7" cm="1">
        <f t="array" ref="J2:J22">TRANSPOSE('Adjust. no safeguard'!C64:W64)+TRANSPOSE('Adjust. no safeguard'!C65:W65)+TRANSPOSE('Adjust. no safeguard'!C66:W66)</f>
        <v>0</v>
      </c>
      <c r="K2" s="7" cm="1">
        <f t="array" ref="K2:K22">TRANSPOSE('Adjust. no safeguard'!C57:W57)</f>
        <v>99.250230000000002</v>
      </c>
      <c r="L2" s="7" cm="1">
        <f t="array" ref="L2:L22">TRANSPOSE('Adjust. no safeguard'!C36:W36)</f>
        <v>1.716024</v>
      </c>
      <c r="M2" s="7"/>
      <c r="N2" s="7"/>
    </row>
    <row r="3" spans="1:14" x14ac:dyDescent="0.2">
      <c r="A3" t="str">
        <f>'Adjustment scenario'!C$3</f>
        <v>CY</v>
      </c>
      <c r="B3">
        <v>2022</v>
      </c>
      <c r="C3" s="7">
        <v>2.087558</v>
      </c>
      <c r="D3" s="7">
        <v>1</v>
      </c>
      <c r="E3" s="7">
        <v>-2.1094313551131312</v>
      </c>
      <c r="F3" s="7">
        <v>5.0579340000000004</v>
      </c>
      <c r="G3" s="7">
        <v>6.0659559999999999</v>
      </c>
      <c r="H3" s="7">
        <v>0</v>
      </c>
      <c r="I3" s="7">
        <v>-0.74485959999999996</v>
      </c>
      <c r="J3" s="7">
        <v>0</v>
      </c>
      <c r="K3" s="7">
        <v>85.595287844886869</v>
      </c>
      <c r="L3" s="7">
        <v>1.648296</v>
      </c>
      <c r="M3" s="7"/>
      <c r="N3" s="7"/>
    </row>
    <row r="4" spans="1:14" x14ac:dyDescent="0.2">
      <c r="A4" t="str">
        <f>'Adjustment scenario'!C$3</f>
        <v>CY</v>
      </c>
      <c r="B4">
        <v>2023</v>
      </c>
      <c r="C4" s="7">
        <v>3.2270470000000002</v>
      </c>
      <c r="D4" s="7">
        <v>1</v>
      </c>
      <c r="E4" s="7">
        <v>-1.2970045229268887</v>
      </c>
      <c r="F4" s="7">
        <v>2.4612370000000001</v>
      </c>
      <c r="G4" s="7">
        <v>4.7312440000000002</v>
      </c>
      <c r="H4" s="7">
        <v>0</v>
      </c>
      <c r="I4" s="7">
        <v>0.60125580000000001</v>
      </c>
      <c r="J4" s="7">
        <v>0</v>
      </c>
      <c r="K4" s="7">
        <v>77.284440321959977</v>
      </c>
      <c r="L4" s="7">
        <v>1.80772</v>
      </c>
      <c r="M4" s="7"/>
      <c r="N4" s="7"/>
    </row>
    <row r="5" spans="1:14" x14ac:dyDescent="0.2">
      <c r="A5" t="str">
        <f>'Adjustment scenario'!C$3</f>
        <v>CY</v>
      </c>
      <c r="B5">
        <v>2024</v>
      </c>
      <c r="C5" s="7">
        <v>3.482405</v>
      </c>
      <c r="D5" s="7">
        <v>1</v>
      </c>
      <c r="E5" s="7">
        <v>-0.81486474677240894</v>
      </c>
      <c r="F5" s="7">
        <v>2.7786170000000001</v>
      </c>
      <c r="G5" s="7">
        <v>3.7133859999999999</v>
      </c>
      <c r="H5" s="7">
        <v>0</v>
      </c>
      <c r="I5" s="7">
        <v>0.99131420000000003</v>
      </c>
      <c r="J5" s="7">
        <v>0</v>
      </c>
      <c r="K5" s="7">
        <v>70.579945075187567</v>
      </c>
      <c r="L5" s="7">
        <v>1.9077200000000001</v>
      </c>
      <c r="M5" s="7"/>
      <c r="N5" s="7"/>
    </row>
    <row r="6" spans="1:14" x14ac:dyDescent="0.2">
      <c r="A6" t="str">
        <f>'Adjustment scenario'!C$3</f>
        <v>CY</v>
      </c>
      <c r="B6">
        <v>2025</v>
      </c>
      <c r="C6" s="7">
        <v>3.482405</v>
      </c>
      <c r="D6" s="7">
        <v>1</v>
      </c>
      <c r="E6" s="7">
        <v>-0.55424912510905266</v>
      </c>
      <c r="F6" s="7">
        <v>3.0115459999999983</v>
      </c>
      <c r="G6" s="7">
        <v>2.3751250000000002</v>
      </c>
      <c r="H6" s="7">
        <v>0</v>
      </c>
      <c r="I6" s="7">
        <v>1.300675</v>
      </c>
      <c r="J6" s="7">
        <v>0</v>
      </c>
      <c r="K6" s="7">
        <v>65.467738950078513</v>
      </c>
      <c r="L6" s="7">
        <v>1.9077200000000001</v>
      </c>
      <c r="M6" s="7"/>
      <c r="N6" s="7"/>
    </row>
    <row r="7" spans="1:14" x14ac:dyDescent="0.2">
      <c r="A7" t="str">
        <f>'Adjustment scenario'!C$3</f>
        <v>CY</v>
      </c>
      <c r="B7">
        <v>2026</v>
      </c>
      <c r="C7" s="7">
        <v>3.482405</v>
      </c>
      <c r="D7" s="7">
        <v>1</v>
      </c>
      <c r="E7" s="7">
        <v>-0.36949966720595828</v>
      </c>
      <c r="F7" s="7">
        <v>2.1985469999999951</v>
      </c>
      <c r="G7" s="7">
        <v>2.3969843750000002</v>
      </c>
      <c r="H7" s="7">
        <v>0</v>
      </c>
      <c r="I7" s="7">
        <v>0</v>
      </c>
      <c r="J7" s="7">
        <v>0</v>
      </c>
      <c r="K7" s="7">
        <v>59.99104804318636</v>
      </c>
      <c r="L7" s="7">
        <v>2.0510578068871177</v>
      </c>
      <c r="M7" s="7"/>
      <c r="N7" s="7"/>
    </row>
    <row r="8" spans="1:14" x14ac:dyDescent="0.2">
      <c r="A8" t="str">
        <f>'Adjustment scenario'!C$3</f>
        <v>CY</v>
      </c>
      <c r="B8">
        <v>2027</v>
      </c>
      <c r="C8" s="7">
        <v>3.482405</v>
      </c>
      <c r="D8" s="7">
        <v>1</v>
      </c>
      <c r="E8" s="7">
        <v>-0.12316252384283022</v>
      </c>
      <c r="F8" s="7">
        <v>1.541576999999994</v>
      </c>
      <c r="G8" s="7">
        <v>2.4188437500000002</v>
      </c>
      <c r="H8" s="7">
        <v>0</v>
      </c>
      <c r="I8" s="7">
        <v>0</v>
      </c>
      <c r="J8" s="7">
        <v>0</v>
      </c>
      <c r="K8" s="7">
        <v>55.344336413083951</v>
      </c>
      <c r="L8" s="7">
        <v>2.1928297708470597</v>
      </c>
      <c r="M8" s="7"/>
      <c r="N8" s="7"/>
    </row>
    <row r="9" spans="1:14" x14ac:dyDescent="0.2">
      <c r="A9" t="str">
        <f>'Adjustment scenario'!C$3</f>
        <v>CY</v>
      </c>
      <c r="B9">
        <v>2028</v>
      </c>
      <c r="C9" s="7">
        <v>3.482405</v>
      </c>
      <c r="D9" s="7">
        <v>1</v>
      </c>
      <c r="E9" s="7">
        <v>5.2474511583966429E-6</v>
      </c>
      <c r="F9" s="7">
        <v>1.5989309999999923</v>
      </c>
      <c r="G9" s="7">
        <v>2.4407031250000002</v>
      </c>
      <c r="H9" s="7">
        <v>0</v>
      </c>
      <c r="I9" s="7">
        <v>0</v>
      </c>
      <c r="J9" s="7">
        <v>0</v>
      </c>
      <c r="K9" s="7">
        <v>50.929639670376446</v>
      </c>
      <c r="L9" s="7">
        <v>2.3254135666366342</v>
      </c>
      <c r="M9" s="7"/>
      <c r="N9" s="7"/>
    </row>
    <row r="10" spans="1:14" x14ac:dyDescent="0.2">
      <c r="A10" t="str">
        <f>'Adjustment scenario'!C$3</f>
        <v>CY</v>
      </c>
      <c r="B10">
        <v>2029</v>
      </c>
      <c r="C10" s="7">
        <v>3.482405</v>
      </c>
      <c r="D10" s="7">
        <v>1</v>
      </c>
      <c r="E10" s="7">
        <v>5.2474511639921671E-6</v>
      </c>
      <c r="F10" s="7">
        <v>1.6630259999999897</v>
      </c>
      <c r="G10" s="7">
        <v>2.4625624999999998</v>
      </c>
      <c r="H10" s="7">
        <v>0</v>
      </c>
      <c r="I10" s="7">
        <v>0</v>
      </c>
      <c r="J10" s="7">
        <v>-0.11456229999999901</v>
      </c>
      <c r="K10" s="7">
        <v>46.496687645996076</v>
      </c>
      <c r="L10" s="7">
        <v>2.456688810666209</v>
      </c>
      <c r="M10" s="7"/>
      <c r="N10" s="7"/>
    </row>
    <row r="11" spans="1:14" x14ac:dyDescent="0.2">
      <c r="A11" t="str">
        <f>'Adjustment scenario'!C$3</f>
        <v>CY</v>
      </c>
      <c r="B11">
        <v>2030</v>
      </c>
      <c r="C11" s="7">
        <v>3.482405</v>
      </c>
      <c r="D11" s="7">
        <v>1</v>
      </c>
      <c r="E11" s="7">
        <v>4.2551015543068619E-6</v>
      </c>
      <c r="F11" s="7">
        <v>1.5770960000000001</v>
      </c>
      <c r="G11" s="7">
        <v>2.4844218749999998</v>
      </c>
      <c r="H11" s="7">
        <v>0</v>
      </c>
      <c r="I11" s="7">
        <v>0</v>
      </c>
      <c r="J11" s="7">
        <v>0.12896540000000273</v>
      </c>
      <c r="K11" s="7">
        <v>42.459373869564104</v>
      </c>
      <c r="L11" s="7">
        <v>2.5695749739605018</v>
      </c>
      <c r="M11" s="7"/>
      <c r="N11" s="7"/>
    </row>
    <row r="12" spans="1:14" x14ac:dyDescent="0.2">
      <c r="A12" t="str">
        <f>'Adjustment scenario'!C$3</f>
        <v>CY</v>
      </c>
      <c r="B12">
        <v>2031</v>
      </c>
      <c r="C12" s="7">
        <v>3.482405</v>
      </c>
      <c r="D12" s="7">
        <v>1</v>
      </c>
      <c r="E12" s="7">
        <v>4.2551015543068619E-6</v>
      </c>
      <c r="F12" s="7">
        <v>1.5250999999999904</v>
      </c>
      <c r="G12" s="7">
        <v>2.5062812499999998</v>
      </c>
      <c r="H12" s="7">
        <v>0</v>
      </c>
      <c r="I12" s="7">
        <v>0</v>
      </c>
      <c r="J12" s="7">
        <v>0.37303300000000172</v>
      </c>
      <c r="K12" s="7">
        <v>38.775312732290459</v>
      </c>
      <c r="L12" s="7">
        <v>2.6610083125532871</v>
      </c>
      <c r="M12" s="7"/>
      <c r="N12" s="7"/>
    </row>
    <row r="13" spans="1:14" x14ac:dyDescent="0.2">
      <c r="A13" t="str">
        <f>'Adjustment scenario'!C$3</f>
        <v>CY</v>
      </c>
      <c r="B13">
        <v>2032</v>
      </c>
      <c r="C13" s="7">
        <v>3.482405</v>
      </c>
      <c r="D13" s="7">
        <v>1</v>
      </c>
      <c r="E13" s="7">
        <v>5.2482081264848544E-6</v>
      </c>
      <c r="F13" s="7">
        <v>1.4996709999999913</v>
      </c>
      <c r="G13" s="7">
        <v>2.5281406249999998</v>
      </c>
      <c r="H13" s="7">
        <v>0</v>
      </c>
      <c r="I13" s="7">
        <v>0</v>
      </c>
      <c r="J13" s="7">
        <v>0.56994070000000274</v>
      </c>
      <c r="K13" s="7">
        <v>35.374126048899583</v>
      </c>
      <c r="L13" s="7">
        <v>2.7540713789584186</v>
      </c>
      <c r="M13" s="7"/>
      <c r="N13" s="7"/>
    </row>
    <row r="14" spans="1:14" x14ac:dyDescent="0.2">
      <c r="A14" t="str">
        <f>'Adjustment scenario'!C$3</f>
        <v>CY</v>
      </c>
      <c r="B14">
        <v>2033</v>
      </c>
      <c r="C14" s="7">
        <v>3.482405</v>
      </c>
      <c r="D14" s="7">
        <v>1</v>
      </c>
      <c r="E14" s="7">
        <v>4.2548351458115976E-6</v>
      </c>
      <c r="F14" s="7">
        <v>1.4724509999999968</v>
      </c>
      <c r="G14" s="7">
        <v>2.5499999999999998</v>
      </c>
      <c r="H14" s="7">
        <v>0</v>
      </c>
      <c r="I14" s="7">
        <v>0</v>
      </c>
      <c r="J14" s="7">
        <v>0.80621840000000167</v>
      </c>
      <c r="K14" s="7">
        <v>32.262514939085726</v>
      </c>
      <c r="L14" s="7">
        <v>2.7790985417613721</v>
      </c>
      <c r="M14" s="7"/>
      <c r="N14" s="7"/>
    </row>
    <row r="15" spans="1:14" x14ac:dyDescent="0.2">
      <c r="A15" t="str">
        <f>'Adjustment scenario'!C$3</f>
        <v>CY</v>
      </c>
      <c r="B15">
        <v>2034</v>
      </c>
      <c r="C15" s="7">
        <v>3.482405</v>
      </c>
      <c r="D15" s="7">
        <v>1</v>
      </c>
      <c r="E15" s="7">
        <v>5.2475774102056507E-6</v>
      </c>
      <c r="F15" s="7">
        <v>1.5369170000000043</v>
      </c>
      <c r="G15" s="7">
        <v>2.5225</v>
      </c>
      <c r="H15" s="7">
        <v>0</v>
      </c>
      <c r="I15" s="7">
        <v>0</v>
      </c>
      <c r="J15" s="7">
        <v>0.96284610000000703</v>
      </c>
      <c r="K15" s="7">
        <v>29.340409626930644</v>
      </c>
      <c r="L15" s="7">
        <v>2.7993131071539921</v>
      </c>
      <c r="M15" s="7"/>
      <c r="N15" s="7"/>
    </row>
    <row r="16" spans="1:14" x14ac:dyDescent="0.2">
      <c r="A16" t="str">
        <f>'Adjustment scenario'!C$3</f>
        <v>CY</v>
      </c>
      <c r="B16">
        <v>2035</v>
      </c>
      <c r="C16" s="7">
        <v>3.482405</v>
      </c>
      <c r="D16" s="7">
        <v>1</v>
      </c>
      <c r="E16" s="7">
        <v>6.7357458626737811E-6</v>
      </c>
      <c r="F16" s="7">
        <v>1.6013870000000097</v>
      </c>
      <c r="G16" s="7">
        <v>2.4949999999999997</v>
      </c>
      <c r="H16" s="7">
        <v>0</v>
      </c>
      <c r="I16" s="7">
        <v>0</v>
      </c>
      <c r="J16" s="7">
        <v>1.1796838000000065</v>
      </c>
      <c r="K16" s="7">
        <v>26.665659419907438</v>
      </c>
      <c r="L16" s="7">
        <v>2.81589510571595</v>
      </c>
      <c r="M16" s="7"/>
      <c r="N16" s="7"/>
    </row>
    <row r="17" spans="1:14" x14ac:dyDescent="0.2">
      <c r="A17" t="str">
        <f>'Adjustment scenario'!C$3</f>
        <v>CY</v>
      </c>
      <c r="B17">
        <v>2036</v>
      </c>
      <c r="C17" s="7">
        <v>3.482405</v>
      </c>
      <c r="D17" s="7">
        <v>1</v>
      </c>
      <c r="E17" s="7">
        <v>8.2229705796521561E-6</v>
      </c>
      <c r="F17" s="7">
        <v>1.6658569999999928</v>
      </c>
      <c r="G17" s="7">
        <v>2.4674999999999998</v>
      </c>
      <c r="H17" s="7">
        <v>0</v>
      </c>
      <c r="I17" s="7">
        <v>0</v>
      </c>
      <c r="J17" s="7">
        <v>1.3286915000000055</v>
      </c>
      <c r="K17" s="7">
        <v>24.168336235214845</v>
      </c>
      <c r="L17" s="7">
        <v>2.8320534161572186</v>
      </c>
      <c r="M17" s="7"/>
      <c r="N17" s="7"/>
    </row>
    <row r="18" spans="1:14" x14ac:dyDescent="0.2">
      <c r="A18" t="str">
        <f>'Adjustment scenario'!C$3</f>
        <v>CY</v>
      </c>
      <c r="B18">
        <v>2037</v>
      </c>
      <c r="C18" s="7">
        <v>3.482405</v>
      </c>
      <c r="D18" s="7">
        <v>1</v>
      </c>
      <c r="E18" s="7">
        <v>9.7089249336157473E-6</v>
      </c>
      <c r="F18" s="7">
        <v>1.7527700000000035</v>
      </c>
      <c r="G18" s="7">
        <v>2.44</v>
      </c>
      <c r="H18" s="7">
        <v>0</v>
      </c>
      <c r="I18" s="7">
        <v>0</v>
      </c>
      <c r="J18" s="7">
        <v>1.4451191000000085</v>
      </c>
      <c r="K18" s="7">
        <v>21.808684985207481</v>
      </c>
      <c r="L18" s="7">
        <v>2.8451672602399016</v>
      </c>
      <c r="M18" s="7"/>
      <c r="N18" s="7"/>
    </row>
    <row r="19" spans="1:14" x14ac:dyDescent="0.2">
      <c r="A19" t="str">
        <f>'Adjustment scenario'!C$3</f>
        <v>CY</v>
      </c>
      <c r="B19">
        <v>2038</v>
      </c>
      <c r="C19" s="7">
        <v>3.482405</v>
      </c>
      <c r="D19" s="7">
        <v>1</v>
      </c>
      <c r="E19" s="7">
        <v>9.2138703666755362E-6</v>
      </c>
      <c r="F19" s="7">
        <v>1.8069420000000003</v>
      </c>
      <c r="G19" s="7">
        <v>2.4124999999999996</v>
      </c>
      <c r="H19" s="7">
        <v>0</v>
      </c>
      <c r="I19" s="7">
        <v>0</v>
      </c>
      <c r="J19" s="7">
        <v>1.5538767999999998</v>
      </c>
      <c r="K19" s="7">
        <v>19.585857825183719</v>
      </c>
      <c r="L19" s="7">
        <v>2.8560049688341924</v>
      </c>
      <c r="M19" s="7"/>
      <c r="N19" s="7"/>
    </row>
    <row r="20" spans="1:14" x14ac:dyDescent="0.2">
      <c r="A20" t="str">
        <f>'Adjustment scenario'!C$3</f>
        <v>CY</v>
      </c>
      <c r="B20">
        <v>2039</v>
      </c>
      <c r="C20" s="7">
        <v>3.482405</v>
      </c>
      <c r="D20" s="7">
        <v>1</v>
      </c>
      <c r="E20" s="7">
        <v>7.234926149379817E-6</v>
      </c>
      <c r="F20" s="7">
        <v>1.8724879999999944</v>
      </c>
      <c r="G20" s="7">
        <v>2.3849999999999998</v>
      </c>
      <c r="H20" s="7">
        <v>0</v>
      </c>
      <c r="I20" s="7">
        <v>0</v>
      </c>
      <c r="J20" s="7">
        <v>1.3556545000000026</v>
      </c>
      <c r="K20" s="7">
        <v>17.188179668616975</v>
      </c>
      <c r="L20" s="7">
        <v>2.8593154301133357</v>
      </c>
      <c r="M20" s="7"/>
      <c r="N20" s="7"/>
    </row>
    <row r="21" spans="1:14" x14ac:dyDescent="0.2">
      <c r="A21" t="str">
        <f>'Adjustment scenario'!C$3</f>
        <v>CY</v>
      </c>
      <c r="B21">
        <v>2040</v>
      </c>
      <c r="C21" s="7">
        <v>3.482405</v>
      </c>
      <c r="D21" s="7">
        <v>1</v>
      </c>
      <c r="E21" s="7">
        <v>7.234926149379817E-6</v>
      </c>
      <c r="F21" s="7">
        <v>1.9423069999999987</v>
      </c>
      <c r="G21" s="7">
        <v>2.3574999999999999</v>
      </c>
      <c r="H21" s="7">
        <v>0</v>
      </c>
      <c r="I21" s="7">
        <v>0</v>
      </c>
      <c r="J21" s="7">
        <v>1.5453322000000074</v>
      </c>
      <c r="K21" s="7">
        <v>15.006288509813093</v>
      </c>
      <c r="L21" s="7">
        <v>2.8593154311036688</v>
      </c>
      <c r="M21" s="7"/>
      <c r="N21" s="7"/>
    </row>
    <row r="22" spans="1:14" x14ac:dyDescent="0.2">
      <c r="A22" t="str">
        <f>'Adjustment scenario'!C$3</f>
        <v>CY</v>
      </c>
      <c r="B22">
        <v>2041</v>
      </c>
      <c r="C22" s="7">
        <v>3.482405</v>
      </c>
      <c r="D22" s="7">
        <v>1</v>
      </c>
      <c r="E22" s="7">
        <v>7.7294824908591405E-6</v>
      </c>
      <c r="F22" s="7">
        <v>1.9095040000000063</v>
      </c>
      <c r="G22" s="7">
        <v>2.33</v>
      </c>
      <c r="H22" s="7">
        <v>0</v>
      </c>
      <c r="I22" s="7">
        <v>0</v>
      </c>
      <c r="J22" s="7">
        <v>1.5647799000000047</v>
      </c>
      <c r="K22" s="7">
        <v>12.883662123244548</v>
      </c>
      <c r="L22" s="7">
        <v>2.8593154311036688</v>
      </c>
      <c r="M22" s="7"/>
      <c r="N22" s="7"/>
    </row>
    <row r="23" spans="1:14" x14ac:dyDescent="0.2">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customXml/itemProps3.xml><?xml version="1.0" encoding="utf-8"?>
<ds:datastoreItem xmlns:ds="http://schemas.openxmlformats.org/officeDocument/2006/customXml" ds:itemID="{7D5379F7-D4E7-4A0C-87B7-761C7833B4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COURTOY Francois (ECFIN)</cp:lastModifiedBy>
  <cp:revision/>
  <dcterms:created xsi:type="dcterms:W3CDTF">2013-04-12T08:50:12Z</dcterms:created>
  <dcterms:modified xsi:type="dcterms:W3CDTF">2024-06-20T10:38:23Z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