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34637B85-CC32-4563-A2DA-3AE1025E927D}" xr6:coauthVersionLast="47" xr6:coauthVersionMax="47" xr10:uidLastSave="{00000000-0000-0000-0000-000000000000}"/>
  <bookViews>
    <workbookView xWindow="-28920" yWindow="-120" windowWidth="29040" windowHeight="1584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V12" i="18"/>
  <c r="W28" i="44" s="1"/>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60" i="40" l="1"/>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E84" i="9"/>
  <c r="E89" i="9" s="1"/>
  <c r="D98" i="40"/>
  <c r="D89" i="17"/>
  <c r="D90" i="19"/>
  <c r="E81" i="19" s="1"/>
  <c r="E87" i="19" s="1"/>
  <c r="D106" i="21"/>
  <c r="E89" i="19"/>
  <c r="E88" i="19"/>
  <c r="F71" i="40" l="1"/>
  <c r="F67" i="40" s="1"/>
  <c r="F58" i="40" s="1"/>
  <c r="F57" i="40" s="1"/>
  <c r="G68"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8" i="17"/>
  <c r="E87" i="18"/>
  <c r="E96" i="40"/>
  <c r="E105" i="21"/>
  <c r="G69" i="40"/>
  <c r="F11" i="22"/>
  <c r="G70" i="40"/>
  <c r="F92" i="40"/>
  <c r="G27" i="44"/>
  <c r="G23" i="44"/>
  <c r="G69" i="17"/>
  <c r="F83" i="17"/>
  <c r="E96" i="21"/>
  <c r="E103" i="21" s="1"/>
  <c r="E90" i="9"/>
  <c r="E88" i="9" s="1"/>
  <c r="E93" i="9" s="1"/>
  <c r="G41" i="44"/>
  <c r="E95" i="40"/>
  <c r="E86" i="19"/>
  <c r="E85" i="19" s="1"/>
  <c r="E91" i="19" s="1"/>
  <c r="E85" i="18"/>
  <c r="E86" i="18"/>
  <c r="F109" i="21"/>
  <c r="F83" i="18" l="1"/>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K16" i="44"/>
  <c r="G26" i="20"/>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33" i="21"/>
  <c r="K68" i="21" s="1"/>
  <c r="K77" i="21" s="1"/>
  <c r="L16" i="44"/>
  <c r="K95" i="21"/>
  <c r="K96" i="21" s="1"/>
  <c r="L18" i="44"/>
  <c r="K66" i="18"/>
  <c r="K57" i="18" s="1"/>
  <c r="K56" i="18" s="1"/>
  <c r="K86" i="18"/>
  <c r="K84" i="18" s="1"/>
  <c r="K88" i="18"/>
  <c r="K87" i="18"/>
  <c r="Q78" i="40"/>
  <c r="Q77" i="40"/>
  <c r="Q67" i="40"/>
  <c r="Q58" i="40" s="1"/>
  <c r="Q57" i="40" s="1"/>
  <c r="Q83" i="40" s="1"/>
  <c r="Q87" i="40"/>
  <c r="Q88" i="40" s="1"/>
  <c r="K105" i="21"/>
  <c r="K104" i="21"/>
  <c r="L61" i="44" s="1"/>
  <c r="K17" i="22"/>
  <c r="K15" i="22"/>
  <c r="K14" i="22"/>
  <c r="K18" i="22"/>
  <c r="K102" i="21" l="1"/>
  <c r="K103" i="21"/>
  <c r="K101" i="21" s="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7" i="21" l="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M7" i="44"/>
  <c r="L19" i="20"/>
  <c r="L13" i="21"/>
  <c r="R94" i="40"/>
  <c r="R93" i="40" s="1"/>
  <c r="R96" i="40"/>
  <c r="R97" i="40"/>
  <c r="L97" i="18"/>
  <c r="L83" i="18" s="1"/>
  <c r="R11" i="22"/>
  <c r="S70" i="40"/>
  <c r="S69" i="40"/>
  <c r="L32" i="18"/>
  <c r="L68" i="18" s="1"/>
  <c r="M50" i="17"/>
  <c r="L30" i="19"/>
  <c r="L23" i="19"/>
  <c r="L52" i="21" l="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N50" i="21" s="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60" i="21" l="1"/>
  <c r="G25" i="20"/>
  <c r="N52" i="21"/>
  <c r="O7" i="44"/>
  <c r="N13" i="21"/>
  <c r="M23" i="21"/>
  <c r="M24" i="21" s="1"/>
  <c r="O12" i="21"/>
  <c r="O79" i="21" s="1"/>
  <c r="U67" i="40"/>
  <c r="U58" i="40" s="1"/>
  <c r="U57" i="40" s="1"/>
  <c r="U83" i="40" s="1"/>
  <c r="U78" i="40"/>
  <c r="Q33" i="44"/>
  <c r="U50" i="19"/>
  <c r="U49" i="17"/>
  <c r="N16" i="44"/>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M113" i="21" l="1"/>
  <c r="O60" i="21"/>
  <c r="O52" i="21"/>
  <c r="M33" i="21"/>
  <c r="M68" i="21" s="1"/>
  <c r="P7" i="44"/>
  <c r="P12" i="21"/>
  <c r="P79" i="21" s="1"/>
  <c r="M30" i="21"/>
  <c r="O51" i="21" s="1"/>
  <c r="O13" i="21"/>
  <c r="O50" i="21"/>
  <c r="P50" i="21" s="1"/>
  <c r="U11" i="22"/>
  <c r="V70" i="40"/>
  <c r="V69" i="40"/>
  <c r="R33" i="44"/>
  <c r="V49" i="17"/>
  <c r="V50" i="19"/>
  <c r="N18" i="44"/>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M69" i="21" l="1"/>
  <c r="N51" i="21"/>
  <c r="N23" i="21" s="1"/>
  <c r="M62" i="21"/>
  <c r="M59" i="21" s="1"/>
  <c r="M77" i="21" s="1"/>
  <c r="N87" i="21" s="1"/>
  <c r="Q12" i="21"/>
  <c r="Q79" i="21" s="1"/>
  <c r="Q7" i="44"/>
  <c r="P13" i="21"/>
  <c r="O23" i="21"/>
  <c r="O24" i="21" s="1"/>
  <c r="M67" i="21"/>
  <c r="N30" i="21"/>
  <c r="N62" i="21" s="1"/>
  <c r="O8" i="44" s="1"/>
  <c r="N24" i="21"/>
  <c r="S33" i="44"/>
  <c r="U33" i="44"/>
  <c r="T33" i="44"/>
  <c r="W50" i="19"/>
  <c r="W49" i="17"/>
  <c r="R7" i="44"/>
  <c r="M78" i="21"/>
  <c r="M88" i="21" s="1"/>
  <c r="N10" i="44"/>
  <c r="Q13" i="21"/>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Q50" i="21" l="1"/>
  <c r="N8" i="44"/>
  <c r="R12" i="21"/>
  <c r="R79" i="21" s="1"/>
  <c r="O30" i="21"/>
  <c r="O62" i="21" s="1"/>
  <c r="O16" i="44"/>
  <c r="N33" i="21"/>
  <c r="O18" i="44" s="1"/>
  <c r="N59" i="21"/>
  <c r="M21" i="20"/>
  <c r="M58" i="21"/>
  <c r="M57" i="21" s="1"/>
  <c r="S7" i="44"/>
  <c r="M95" i="21"/>
  <c r="M96" i="21" s="1"/>
  <c r="M103" i="21" s="1"/>
  <c r="S12" i="21"/>
  <c r="S79" i="21" s="1"/>
  <c r="R13" i="2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R50" i="21" l="1"/>
  <c r="T12" i="21"/>
  <c r="T79" i="21" s="1"/>
  <c r="M83" i="21"/>
  <c r="M85" i="21"/>
  <c r="M86" i="21"/>
  <c r="N70" i="21"/>
  <c r="M104" i="21"/>
  <c r="M105" i="21"/>
  <c r="W33" i="44"/>
  <c r="V33" i="44"/>
  <c r="X33" i="44"/>
  <c r="S50" i="21"/>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T107" i="21"/>
  <c r="U59" i="44"/>
  <c r="U58" i="44"/>
  <c r="U36" i="21"/>
  <c r="U113" i="21"/>
  <c r="U100" i="21" s="1"/>
  <c r="U95" i="21" s="1"/>
  <c r="U96" i="21" s="1"/>
  <c r="U102" i="21" s="1"/>
  <c r="U83" i="18"/>
  <c r="U79" i="18" s="1"/>
  <c r="U80" i="18" s="1"/>
  <c r="U68" i="18"/>
  <c r="U66" i="18" s="1"/>
  <c r="U57" i="18" s="1"/>
  <c r="U56" i="18" s="1"/>
  <c r="V27" i="44" s="1"/>
  <c r="V13" i="44" l="1"/>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78" i="21"/>
  <c r="V88" i="21" s="1"/>
  <c r="V77" i="21"/>
  <c r="W87" i="21" s="1"/>
  <c r="V58" i="21"/>
  <c r="V57" i="21" s="1"/>
  <c r="W5" i="44"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<sst xmlns="http://schemas.openxmlformats.org/spreadsheetml/2006/main" count="815" uniqueCount="296">
  <si>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</si>
  <si>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</si>
  <si>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</si>
  <si>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</si>
  <si>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</si>
  <si>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</si>
  <si>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</si>
  <si>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</si>
  <si>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</si>
  <si>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</si>
  <si>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</si>
  <si>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</si>
  <si>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</si>
  <si>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</si>
  <si>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</si>
  <si>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</si>
  <si>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</si>
  <si>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</si>
  <si>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</si>
  <si>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</si>
  <si>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</si>
  <si>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</si>
  <si>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</si>
  <si>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</si>
  <si>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</si>
  <si>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</si>
  <si>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</si>
  <si>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</si>
  <si>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</si>
  <si>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</si>
  <si>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</si>
  <si>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</si>
  <si>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</si>
  <si>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</si>
  <si>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</si>
  <si>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</si>
  <si>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</si>
  <si>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</si>
  <si>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</si>
  <si>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</si>
  <si>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</si>
  <si>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</si>
  <si>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</si>
  <si>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</si>
  <si>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</si>
  <si>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</si>
  <si>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</si>
  <si>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</si>
  <si>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</si>
  <si>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</si>
  <si>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</si>
  <si>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</si>
  <si>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</si>
  <si>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</si>
  <si>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</si>
  <si>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</si>
  <si>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</si>
  <si>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</si>
  <si>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</si>
  <si>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</si>
  <si>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</si>
  <si>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</si>
  <si>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</si>
  <si>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</si>
  <si>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</si>
  <si>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</si>
  <si>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</si>
  <si>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</si>
  <si>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</si>
  <si>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</si>
  <si>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</si>
  <si>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</si>
  <si>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</si>
  <si>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</si>
  <si>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</si>
  <si>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</si>
  <si>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</si>
  <si>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</si>
  <si>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</si>
  <si>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</si>
  <si>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</si>
  <si>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</si>
  <si>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</si>
  <si>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</si>
  <si>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</si>
  <si>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</si>
  <si>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</si>
  <si>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</si>
  <si>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</si>
  <si>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</si>
  <si>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</si>
  <si>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</si>
  <si>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</si>
  <si>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</si>
  <si>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</si>
  <si>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</si>
  <si>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</si>
  <si>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</si>
  <si>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</si>
  <si>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</si>
  <si>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</si>
  <si>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</si>
  <si>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</si>
  <si>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</si>
  <si>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</si>
  <si>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</si>
  <si>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</si>
  <si>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</si>
  <si>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</si>
  <si>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</si>
  <si>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</si>
  <si>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</si>
  <si>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</si>
  <si>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</si>
  <si>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</si>
  <si>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</si>
  <si>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</si>
  <si>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</si>
  <si>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</si>
  <si>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</si>
  <si>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</si>
  <si>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</si>
  <si>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</si>
  <si>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</si>
  <si>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</si>
  <si>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</si>
  <si>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</si>
  <si>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</si>
  <si>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</si>
  <si>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</si>
  <si>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</si>
  <si>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</si>
  <si>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</si>
  <si>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</si>
  <si>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</si>
  <si>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</si>
  <si>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</si>
  <si>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</si>
  <si>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</si>
  <si>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</si>
  <si>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</si>
  <si>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</si>
  <si>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</si>
  <si>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</si>
  <si>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</si>
  <si>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</si>
  <si>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</si>
  <si>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</si>
  <si>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</si>
  <si>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</si>
  <si>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</si>
  <si>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</si>
  <si>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</si>
  <si>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</si>
  <si>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</si>
  <si>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</si>
  <si>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</si>
  <si>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</si>
  <si>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</si>
  <si>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</si>
  <si>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</si>
  <si>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</si>
  <si>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</si>
  <si>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ES</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</si>
  <si>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</si>
  <si>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</si>
  <si>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</si>
  <si>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</si>
  <si>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</si>
  <si>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</si>
  <si>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</si>
  <si>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</si>
  <si>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</si>
  <si>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</si>
  <si>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</si>
  <si>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</si>
  <si>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</si>
  <si>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</si>
  <si>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</si>
  <si>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</si>
  <si>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</si>
  <si>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</si>
  <si>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</si>
  <si>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</si>
  <si>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</si>
  <si>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</si>
  <si>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</si>
  <si>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</si>
  <si>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</si>
  <si>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</si>
  <si>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</si>
  <si>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</si>
  <si>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</si>
  <si>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</si>
  <si>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</si>
  <si>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</si>
  <si>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</si>
  <si>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</si>
  <si>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</si>
  <si>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</si>
  <si>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</si>
  <si>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</si>
  <si>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</si>
  <si>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</si>
  <si>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</si>
  <si>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</si>
  <si>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</si>
  <si>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</si>
  <si>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</si>
  <si>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</si>
  <si>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</si>
  <si>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</si>
  <si>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</si>
  <si>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</si>
  <si>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</si>
  <si>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</si>
  <si>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</si>
  <si>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</si>
  <si>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</si>
  <si>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</si>
  <si>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</si>
  <si>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</si>
  <si>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</si>
  <si>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</si>
  <si>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</si>
  <si>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</si>
  <si>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</si>
  <si>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</si>
  <si>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</si>
  <si>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</si>
  <si>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</si>
  <si>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</si>
  <si>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</si>
  <si>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</si>
  <si>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</si>
  <si>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</si>
  <si>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</si>
  <si>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</si>
  <si>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</si>
  <si>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</si>
  <si>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</si>
  <si>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</si>
  <si>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</si>
  <si>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</si>
  <si>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</si>
  <si>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</si>
  <si>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</si>
  <si>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</si>
  <si>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</si>
  <si>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</si>
  <si>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</si>
  <si>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</si>
  <si>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</si>
  <si>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</si>
  <si>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</si>
  <si>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</si>
  <si>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</si>
  <si>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</si>
  <si>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</si>
  <si>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</si>
  <si>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</si>
  <si>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</si>
  <si>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</si>
  <si>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</si>
  <si>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</si>
  <si>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</si>
  <si>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</si>
  <si>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</si>
  <si>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</si>
  <si>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</si>
  <si>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</si>
  <si>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</si>
  <si>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</si>
  <si>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</si>
  <si>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</si>
  <si>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</si>
  <si>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</si>
  <si>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</si>
  <si>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</si>
  <si>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</si>
  <si>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</si>
  <si>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</si>
  <si>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</si>
  <si>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</si>
  <si>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</si>
  <si>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</si>
  <si>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</si>
  <si>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</si>
  <si>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</si>
  <si>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</si>
  <si>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</si>
  <si>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</si>
  <si>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</si>
  <si>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0.86)</t>
  </si>
  <si>
    <t>Extension (annual adjustment of 0.5)</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</si>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</sst>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101.94036868200992</c:v>
                </c:pt>
                <c:pt idx="1">
                  <c:v>99.41445907477997</c:v>
                </c:pt>
                <c:pt idx="2">
                  <c:v>89.741863774254128</c:v>
                </c:pt>
                <c:pt idx="3">
                  <c:v>84.080559135891733</c:v>
                </c:pt>
                <c:pt idx="4">
                  <c:v>79.221748256998652</c:v>
                </c:pt>
                <c:pt idx="5">
                  <c:v>75.289688775053321</c:v>
                </c:pt>
                <c:pt idx="6">
                  <c:v>72.186628778128309</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3.6870880126953125</c:v>
                </c:pt>
                <c:pt idx="3">
                  <c:v>5.15155029296875</c:v>
                </c:pt>
                <c:pt idx="4">
                  <c:v>6.3481292724609375</c:v>
                </c:pt>
                <c:pt idx="5">
                  <c:v>7.3780136108398438</c:v>
                </c:pt>
                <c:pt idx="6">
                  <c:v>8.0216827392578125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2.7411956787109375</c:v>
                </c:pt>
                <c:pt idx="3">
                  <c:v>3.786529541015625</c:v>
                </c:pt>
                <c:pt idx="4">
                  <c:v>4.4371795654296875</c:v>
                </c:pt>
                <c:pt idx="5">
                  <c:v>5.102752685546875</c:v>
                </c:pt>
                <c:pt idx="6">
                  <c:v>5.6885910034179688</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2.6595001220703125</c:v>
                </c:pt>
                <c:pt idx="3">
                  <c:v>3.7049789428710938</c:v>
                </c:pt>
                <c:pt idx="4">
                  <c:v>4.507781982421875</c:v>
                </c:pt>
                <c:pt idx="5">
                  <c:v>5.385650634765625</c:v>
                </c:pt>
                <c:pt idx="6">
                  <c:v>6.066162109375</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4.0413360595703125</c:v>
                </c:pt>
                <c:pt idx="3">
                  <c:v>5.561065673828125</c:v>
                </c:pt>
                <c:pt idx="4">
                  <c:v>6.8990325927734375</c:v>
                </c:pt>
                <c:pt idx="5">
                  <c:v>7.9960708618164063</c:v>
                </c:pt>
                <c:pt idx="6">
                  <c:v>9.0194854736328125</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101.94036868200992</c:v>
                </c:pt>
                <c:pt idx="1">
                  <c:v>99.41445907477997</c:v>
                </c:pt>
                <c:pt idx="2">
                  <c:v>98.82964758773069</c:v>
                </c:pt>
                <c:pt idx="3">
                  <c:v>96.723617912747201</c:v>
                </c:pt>
                <c:pt idx="4">
                  <c:v>94.514839077311152</c:v>
                </c:pt>
                <c:pt idx="5">
                  <c:v>93.156105706205665</c:v>
                </c:pt>
                <c:pt idx="6">
                  <c:v>91.96306463017909</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101.94036868200992</c:v>
                </c:pt>
                <c:pt idx="1">
                  <c:v>99.41445907477997</c:v>
                </c:pt>
                <c:pt idx="2">
                  <c:v>93.42895178694944</c:v>
                </c:pt>
                <c:pt idx="3">
                  <c:v>89.232109428860483</c:v>
                </c:pt>
                <c:pt idx="4">
                  <c:v>85.569877529459589</c:v>
                </c:pt>
                <c:pt idx="5">
                  <c:v>82.667702385893165</c:v>
                </c:pt>
                <c:pt idx="6">
                  <c:v>80.208311517386122</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101.94036868200992</c:v>
                </c:pt>
                <c:pt idx="1">
                  <c:v>99.41445907477997</c:v>
                </c:pt>
                <c:pt idx="2">
                  <c:v>102.870983647301</c:v>
                </c:pt>
                <c:pt idx="3">
                  <c:v>102.28468358657533</c:v>
                </c:pt>
                <c:pt idx="4">
                  <c:v>101.41387167008459</c:v>
                </c:pt>
                <c:pt idx="5">
                  <c:v>101.15217656802207</c:v>
                </c:pt>
                <c:pt idx="6">
                  <c:v>100.9825501038119</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IE"/>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101.94036868200992</c:v>
                </c:pt>
                <c:pt idx="1">
                  <c:v>99.41445907477997</c:v>
                </c:pt>
                <c:pt idx="2">
                  <c:v>96.170147465660378</c:v>
                </c:pt>
                <c:pt idx="3">
                  <c:v>93.018638969876108</c:v>
                </c:pt>
                <c:pt idx="4">
                  <c:v>90.007057094889277</c:v>
                </c:pt>
                <c:pt idx="5">
                  <c:v>87.77045507144004</c:v>
                </c:pt>
                <c:pt idx="6">
                  <c:v>85.89690252080409</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101.94036868200992</c:v>
                </c:pt>
                <c:pt idx="1">
                  <c:v>99.41445907477997</c:v>
                </c:pt>
                <c:pt idx="2">
                  <c:v>89.741863774254128</c:v>
                </c:pt>
                <c:pt idx="3">
                  <c:v>84.080559135891733</c:v>
                </c:pt>
                <c:pt idx="4">
                  <c:v>79.221748256998652</c:v>
                </c:pt>
                <c:pt idx="5">
                  <c:v>75.289688775053321</c:v>
                </c:pt>
                <c:pt idx="6">
                  <c:v>72.186628778128309</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topLeftCell="A54" zoomScaleNormal="100" workbookViewId="0">
      <selection activeCell="D59" sqref="D59"/>
    </sheetView>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0.86</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Not met</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ok</v>
      </c>
      <c r="M12" s="419">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-1.5238797099609598</v>
      </c>
      <c r="N12" s="457" t="str">
        <f>IF(AND(O12=0,F6&lt;0.5),"not relevant","ok")</f>
        <v>ok</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Not met</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Not met</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Not met</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0.86</v>
      </c>
      <c r="H19" s="239">
        <f>'Adjustment scenario'!H12-'Adjustment scenario'!G12</f>
        <v>0.86</v>
      </c>
      <c r="I19" s="239">
        <f>'Adjustment scenario'!I12-'Adjustment scenario'!H12</f>
        <v>0.8600000000000001</v>
      </c>
      <c r="J19" s="239">
        <f>'Adjustment scenario'!J12-'Adjustment scenario'!I12</f>
        <v>0.85999999999999988</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2.4140040406875345</v>
      </c>
      <c r="H20" s="238">
        <f>'Adjustment scenario'!H79</f>
        <v>2.0271727906875352</v>
      </c>
      <c r="I20" s="238">
        <f>'Adjustment scenario'!I79</f>
        <v>1.876198540687535</v>
      </c>
      <c r="J20" s="238">
        <f>'Adjustment scenario'!J79</f>
        <v>1.8711972906875356</v>
      </c>
      <c r="K20" s="238">
        <f>'Adjustment scenario'!K79</f>
        <v>3.7878439999999998</v>
      </c>
      <c r="L20" s="238">
        <f>'Adjustment scenario'!L79</f>
        <v>3.7416337500000001</v>
      </c>
      <c r="M20" s="241">
        <f>'Adjustment scenario'!M79</f>
        <v>3.6832134999999999</v>
      </c>
      <c r="N20" s="256"/>
      <c r="P20" s="232"/>
      <c r="V20" s="387">
        <v>0.36</v>
      </c>
    </row>
    <row r="21" spans="4:22" ht="15" customHeight="1" x14ac:dyDescent="0.2">
      <c r="D21" s="283" t="s">
        <v>41</v>
      </c>
      <c r="E21" s="274"/>
      <c r="F21" s="275"/>
      <c r="G21" s="279">
        <f>'Adjustment scenario'!G77</f>
        <v>-2.3493374451479871</v>
      </c>
      <c r="H21" s="280">
        <f>'Adjustment scenario'!H77</f>
        <v>-2.0494929644175564</v>
      </c>
      <c r="I21" s="280">
        <f>'Adjustment scenario'!I77</f>
        <v>-1.5514372512779877</v>
      </c>
      <c r="J21" s="280">
        <f>'Adjustment scenario'!J77</f>
        <v>-0.92983339264783726</v>
      </c>
      <c r="K21" s="280">
        <f>'Adjustment scenario'!K77</f>
        <v>-0.81040971576369714</v>
      </c>
      <c r="L21" s="280">
        <f>'Adjustment scenario'!L77</f>
        <v>-0.72695573936587454</v>
      </c>
      <c r="M21" s="281">
        <f>'Adjustment scenario'!M77</f>
        <v>-0.68645405529450798</v>
      </c>
      <c r="N21" s="256"/>
      <c r="P21" s="232"/>
      <c r="V21" s="387">
        <v>0.38</v>
      </c>
    </row>
    <row r="22" spans="4:22" ht="15" customHeight="1" x14ac:dyDescent="0.2">
      <c r="D22" s="283" t="s">
        <v>42</v>
      </c>
      <c r="E22" s="274"/>
      <c r="F22" s="275"/>
      <c r="G22" s="276">
        <f>'Adjustment scenario'!G78</f>
        <v>-2.5600766275558873</v>
      </c>
      <c r="H22" s="277">
        <f>'Adjustment scenario'!H78</f>
        <v>-1.8096788732416471</v>
      </c>
      <c r="I22" s="277">
        <f>'Adjustment scenario'!I78</f>
        <v>-1.0134559609721845</v>
      </c>
      <c r="J22" s="277">
        <f>'Adjustment scenario'!J78</f>
        <v>-0.19485512767059499</v>
      </c>
      <c r="K22" s="277">
        <f>'Adjustment scenario'!K78</f>
        <v>-0.32042420577885367</v>
      </c>
      <c r="L22" s="277">
        <f>'Adjustment scenario'!L78</f>
        <v>-0.48196298437344931</v>
      </c>
      <c r="M22" s="282">
        <f>'Adjustment scenario'!M78</f>
        <v>-0.68645405529450776</v>
      </c>
      <c r="N22" s="256"/>
      <c r="P22" s="232"/>
      <c r="V22" s="387">
        <v>0.4</v>
      </c>
    </row>
    <row r="23" spans="4:22" ht="15" customHeight="1" x14ac:dyDescent="0.2">
      <c r="D23" s="283" t="s">
        <v>43</v>
      </c>
      <c r="E23" s="274"/>
      <c r="F23" s="275"/>
      <c r="G23" s="237">
        <f>'Adjustment scenario'!G57</f>
        <v>104.97907714628217</v>
      </c>
      <c r="H23" s="238">
        <f>'Adjustment scenario'!H57</f>
        <v>103.74121471198744</v>
      </c>
      <c r="I23" s="238">
        <f>'Adjustment scenario'!I57</f>
        <v>101.94036868200992</v>
      </c>
      <c r="J23" s="238">
        <f>'Adjustment scenario'!J57</f>
        <v>99.41445907477997</v>
      </c>
      <c r="K23" s="238">
        <f>'Adjustment scenario'!K57</f>
        <v>96.170147465660378</v>
      </c>
      <c r="L23" s="238">
        <f>'Adjustment scenario'!L57</f>
        <v>93.018638969876108</v>
      </c>
      <c r="M23" s="241">
        <f>'Adjustment scenario'!M57</f>
        <v>90.007057094889277</v>
      </c>
      <c r="N23" s="256"/>
      <c r="P23" s="232"/>
      <c r="V23" s="387">
        <v>0.42</v>
      </c>
    </row>
    <row r="24" spans="4:22" ht="15" customHeight="1" x14ac:dyDescent="0.2">
      <c r="D24" s="439" t="s">
        <v>31</v>
      </c>
      <c r="E24" s="439"/>
      <c r="F24" s="439"/>
      <c r="G24" s="278">
        <f>AVERAGE(G19:J19)</f>
        <v>0.86</v>
      </c>
      <c r="I24" s="232"/>
      <c r="J24" s="232"/>
      <c r="K24" s="232"/>
      <c r="L24" s="232"/>
      <c r="M24" s="232"/>
      <c r="N24" s="232"/>
      <c r="P24" s="236"/>
      <c r="V24" s="387">
        <v>0.44</v>
      </c>
    </row>
    <row r="25" spans="4:22" x14ac:dyDescent="0.2">
      <c r="D25" s="242" t="s">
        <v>32</v>
      </c>
      <c r="E25" s="377"/>
      <c r="F25" s="376"/>
      <c r="G25" s="272">
        <f>IF(F5=4,AVERAGE(G19:J19),AVERAGE(G19:M19))</f>
        <v>0.86</v>
      </c>
      <c r="H25" s="232"/>
      <c r="Q25" s="231"/>
      <c r="V25" s="387">
        <v>0.46</v>
      </c>
    </row>
    <row r="26" spans="4:22" x14ac:dyDescent="0.2">
      <c r="D26" s="408" t="s">
        <v>33</v>
      </c>
      <c r="E26" s="409"/>
      <c r="F26" s="409"/>
      <c r="G26" s="374">
        <f>AVERAGE(G20:J20)</f>
        <v>2.047143165687535</v>
      </c>
      <c r="Q26" s="231"/>
      <c r="V26" s="387">
        <v>0.48</v>
      </c>
    </row>
    <row r="27" spans="4:22" ht="15" customHeight="1" x14ac:dyDescent="0.2">
      <c r="D27" s="410" t="s">
        <v>34</v>
      </c>
      <c r="E27" s="411"/>
      <c r="F27" s="411"/>
      <c r="G27" s="375">
        <f>IF(F5=4,AVERAGE(G20:J20),AVERAGE(G20:M20))</f>
        <v>2.047143165687535</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0.86</v>
      </c>
      <c r="H33" s="202">
        <v>0.5</v>
      </c>
      <c r="V33" s="387">
        <v>0.62</v>
      </c>
    </row>
    <row r="34" spans="4:22" x14ac:dyDescent="0.2">
      <c r="D34" s="371" t="s">
        <v>283</v>
      </c>
      <c r="E34" s="208"/>
      <c r="F34" s="209"/>
      <c r="G34" s="212">
        <v>87.560000419616699</v>
      </c>
      <c r="H34" s="203">
        <v>83.360000610351563</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2.047143165687535</v>
      </c>
      <c r="H40" s="323">
        <v>2.4140040406875345</v>
      </c>
      <c r="I40" s="323">
        <v>2.0271727906875352</v>
      </c>
      <c r="J40" s="323">
        <v>1.876198540687535</v>
      </c>
      <c r="K40" s="323">
        <v>1.8711972906875356</v>
      </c>
      <c r="L40" s="317"/>
      <c r="M40" s="317"/>
      <c r="N40" s="318"/>
      <c r="U40" s="388"/>
      <c r="V40" s="389">
        <v>0.76</v>
      </c>
    </row>
    <row r="41" spans="4:22" s="314" customFormat="1" ht="15" customHeight="1" x14ac:dyDescent="0.2">
      <c r="D41" s="429" t="s">
        <v>192</v>
      </c>
      <c r="E41" s="430"/>
      <c r="F41" s="431"/>
      <c r="G41" s="202">
        <v>0.86</v>
      </c>
      <c r="H41" s="319">
        <v>0.86</v>
      </c>
      <c r="I41" s="319">
        <v>0.86</v>
      </c>
      <c r="J41" s="319">
        <v>0.8600000000000001</v>
      </c>
      <c r="K41" s="319">
        <v>0.85999999999999988</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2.8632694277253115</v>
      </c>
      <c r="H43" s="323">
        <v>3.230130302725311</v>
      </c>
      <c r="I43" s="323">
        <v>2.8432990527253112</v>
      </c>
      <c r="J43" s="323">
        <v>2.6923248027253113</v>
      </c>
      <c r="K43" s="323">
        <v>2.6873235527253114</v>
      </c>
      <c r="L43" s="323">
        <v>2.6543353027253107</v>
      </c>
      <c r="M43" s="323">
        <v>2.608125052725311</v>
      </c>
      <c r="N43" s="324">
        <v>2.5497048027253109</v>
      </c>
      <c r="U43" s="388"/>
      <c r="V43" s="389">
        <v>0.82</v>
      </c>
    </row>
    <row r="44" spans="4:22" s="314" customFormat="1" ht="15" customHeight="1" x14ac:dyDescent="0.2">
      <c r="D44" s="432" t="s">
        <v>192</v>
      </c>
      <c r="E44" s="433"/>
      <c r="F44" s="434"/>
      <c r="G44" s="311">
        <v>0.5</v>
      </c>
      <c r="H44" s="325">
        <v>0.5</v>
      </c>
      <c r="I44" s="325">
        <v>0.5</v>
      </c>
      <c r="J44" s="325">
        <v>0.5</v>
      </c>
      <c r="K44" s="325">
        <v>0.5</v>
      </c>
      <c r="L44" s="325">
        <v>0.5</v>
      </c>
      <c r="M44" s="325">
        <v>0.5</v>
      </c>
      <c r="N44" s="326">
        <v>0.5</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EA6492D2-06D3-4CB6-99CD-27533D1C2591}">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116.8408</v>
      </c>
      <c r="D12" s="147">
        <v>111.61799999999999</v>
      </c>
      <c r="E12" s="147">
        <v>107.6521</v>
      </c>
      <c r="F12" s="147">
        <v>105.50790000000001</v>
      </c>
      <c r="G12" s="59" t="s">
        <v>47</v>
      </c>
      <c r="H12" s="59" t="s">
        <v>47</v>
      </c>
      <c r="I12" s="59" t="s">
        <v>47</v>
      </c>
      <c r="J12" s="59" t="s">
        <v>47</v>
      </c>
      <c r="K12" s="59" t="s">
        <v>47</v>
      </c>
      <c r="L12" s="59" t="s">
        <v>47</v>
      </c>
      <c r="M12" s="59" t="s">
        <v>47</v>
      </c>
      <c r="N12" s="59" t="s">
        <v>47</v>
      </c>
      <c r="O12" s="59" t="s">
        <v>47</v>
      </c>
    </row>
    <row r="13" spans="1:54" x14ac:dyDescent="0.2">
      <c r="A13" s="60"/>
      <c r="B13" s="60" t="s">
        <v>48</v>
      </c>
      <c r="C13" s="59">
        <v>-2.1969370000000001</v>
      </c>
      <c r="D13" s="147">
        <v>-2.3947409999999998</v>
      </c>
      <c r="E13" s="147">
        <v>-1.6308560000000001</v>
      </c>
      <c r="F13" s="147">
        <v>-0.84895830000000005</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-9.2449400000000001E-2</v>
      </c>
      <c r="D14" s="147">
        <v>-6.6846100000000006E-2</v>
      </c>
      <c r="E14" s="147">
        <v>0</v>
      </c>
      <c r="F14" s="147">
        <v>-0.18809000000000001</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1.03254E-2</v>
      </c>
      <c r="D15" s="147">
        <v>0.81181420000000004</v>
      </c>
      <c r="E15" s="147">
        <v>1.217482</v>
      </c>
      <c r="F15" s="147">
        <v>0.45447080000000001</v>
      </c>
      <c r="G15" s="147">
        <v>0.94</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7.0185000000000004E-3</v>
      </c>
      <c r="D16" s="147">
        <v>0.81180839999999999</v>
      </c>
      <c r="E16" s="147">
        <v>1.2174830000000001</v>
      </c>
      <c r="F16" s="147">
        <v>0.45447110000000002</v>
      </c>
      <c r="G16" s="147">
        <v>0.94000099999999998</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22.788010000000003</v>
      </c>
      <c r="E20" s="148">
        <f t="shared" si="0"/>
        <v>23.134040000000002</v>
      </c>
      <c r="F20" s="148">
        <f t="shared" si="0"/>
        <v>23.198610000000002</v>
      </c>
      <c r="G20" s="148">
        <f t="shared" si="0"/>
        <v>23.248739999999998</v>
      </c>
      <c r="H20" s="148">
        <f t="shared" si="0"/>
        <v>23.324060000000006</v>
      </c>
      <c r="I20" s="148">
        <f t="shared" si="0"/>
        <v>23.427720000000001</v>
      </c>
      <c r="J20" s="148">
        <f t="shared" si="0"/>
        <v>23.512549999999997</v>
      </c>
      <c r="K20" s="148">
        <f t="shared" si="0"/>
        <v>23.64058</v>
      </c>
      <c r="L20" s="148">
        <f t="shared" si="0"/>
        <v>23.807760000000002</v>
      </c>
      <c r="M20" s="148">
        <f t="shared" si="0"/>
        <v>24.019580000000001</v>
      </c>
      <c r="N20" s="148">
        <f t="shared" si="0"/>
        <v>24.259330000000002</v>
      </c>
      <c r="O20" s="148">
        <f t="shared" si="0"/>
        <v>24.501700000000003</v>
      </c>
      <c r="P20" s="148">
        <f t="shared" si="0"/>
        <v>24.736699999999999</v>
      </c>
      <c r="Q20" s="148">
        <f t="shared" si="0"/>
        <v>24.956709999999998</v>
      </c>
      <c r="R20" s="148">
        <f t="shared" si="0"/>
        <v>25.159790000000001</v>
      </c>
      <c r="S20" s="148">
        <f t="shared" si="0"/>
        <v>25.349450000000001</v>
      </c>
      <c r="T20" s="148">
        <f t="shared" si="0"/>
        <v>25.535530000000001</v>
      </c>
      <c r="U20" s="148">
        <f t="shared" ref="U20:W20" si="1">(U21+U22+U23+U24-U25)</f>
        <v>25.718830000000001</v>
      </c>
      <c r="V20" s="148">
        <f t="shared" si="1"/>
        <v>25.881730000000001</v>
      </c>
      <c r="W20" s="148">
        <f t="shared" si="1"/>
        <v>26.077779999999997</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13.086610000000002</v>
      </c>
      <c r="E21" s="148">
        <v>13.56724</v>
      </c>
      <c r="F21" s="148">
        <v>13.65504</v>
      </c>
      <c r="G21" s="148">
        <v>13.71532</v>
      </c>
      <c r="H21" s="148">
        <v>13.809620000000001</v>
      </c>
      <c r="I21" s="148">
        <v>13.92108</v>
      </c>
      <c r="J21" s="148">
        <v>14.018149999999999</v>
      </c>
      <c r="K21" s="148">
        <v>14.152880000000001</v>
      </c>
      <c r="L21" s="148">
        <v>14.32807</v>
      </c>
      <c r="M21" s="148">
        <v>14.538349999999999</v>
      </c>
      <c r="N21" s="148">
        <v>14.777940000000001</v>
      </c>
      <c r="O21" s="148">
        <v>15.014520000000001</v>
      </c>
      <c r="P21" s="148">
        <v>15.240310000000001</v>
      </c>
      <c r="Q21" s="148">
        <v>15.44807</v>
      </c>
      <c r="R21" s="148">
        <v>15.63536</v>
      </c>
      <c r="S21" s="148">
        <v>15.80068</v>
      </c>
      <c r="T21" s="148">
        <v>15.95457</v>
      </c>
      <c r="U21" s="148">
        <v>16.092290000000002</v>
      </c>
      <c r="V21" s="148">
        <v>16.204750000000001</v>
      </c>
      <c r="W21" s="148">
        <v>16.340579999999999</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5.9105299999999996</v>
      </c>
      <c r="E22" s="148">
        <v>5.8391600000000006</v>
      </c>
      <c r="F22" s="148">
        <v>5.8712</v>
      </c>
      <c r="G22" s="148">
        <v>5.9168199999999995</v>
      </c>
      <c r="H22" s="148">
        <v>5.9632300000000003</v>
      </c>
      <c r="I22" s="148">
        <v>6.0157600000000002</v>
      </c>
      <c r="J22" s="148">
        <v>6.0674400000000004</v>
      </c>
      <c r="K22" s="148">
        <v>6.1214300000000001</v>
      </c>
      <c r="L22" s="148">
        <v>6.1715600000000004</v>
      </c>
      <c r="M22" s="148">
        <v>6.2263000000000002</v>
      </c>
      <c r="N22" s="148">
        <v>6.2770099999999998</v>
      </c>
      <c r="O22" s="148">
        <v>6.3293499999999998</v>
      </c>
      <c r="P22" s="148">
        <v>6.3818899999999994</v>
      </c>
      <c r="Q22" s="148">
        <v>6.434429999999999</v>
      </c>
      <c r="R22" s="148">
        <v>6.4856199999999999</v>
      </c>
      <c r="S22" s="148">
        <v>6.5379000000000005</v>
      </c>
      <c r="T22" s="148">
        <v>6.5863300000000002</v>
      </c>
      <c r="U22" s="148">
        <v>6.6370200000000006</v>
      </c>
      <c r="V22" s="148">
        <v>6.6827100000000002</v>
      </c>
      <c r="W22" s="148">
        <v>6.7290799999999997</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0.81255000000000011</v>
      </c>
      <c r="E23" s="148">
        <v>0.81335000000000002</v>
      </c>
      <c r="F23" s="148">
        <v>0.80879999999999996</v>
      </c>
      <c r="G23" s="148">
        <v>0.80865999999999993</v>
      </c>
      <c r="H23" s="148">
        <v>0.81142000000000003</v>
      </c>
      <c r="I23" s="148">
        <v>0.82731999999999994</v>
      </c>
      <c r="J23" s="148">
        <v>0.83570999999999995</v>
      </c>
      <c r="K23" s="148">
        <v>0.84506000000000003</v>
      </c>
      <c r="L23" s="148">
        <v>0.85780999999999996</v>
      </c>
      <c r="M23" s="148">
        <v>0.87235000000000007</v>
      </c>
      <c r="N23" s="148">
        <v>0.88705999999999996</v>
      </c>
      <c r="O23" s="148">
        <v>0.90559999999999996</v>
      </c>
      <c r="P23" s="148">
        <v>0.92498000000000002</v>
      </c>
      <c r="Q23" s="148">
        <v>0.94418999999999997</v>
      </c>
      <c r="R23" s="148">
        <v>0.96226</v>
      </c>
      <c r="S23" s="148">
        <v>0.9815799999999999</v>
      </c>
      <c r="T23" s="148">
        <v>1.00352</v>
      </c>
      <c r="U23" s="148">
        <v>1.0265</v>
      </c>
      <c r="V23" s="148">
        <v>1.0491600000000001</v>
      </c>
      <c r="W23" s="148">
        <v>1.0732300000000001</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4.1025</v>
      </c>
      <c r="E24" s="148">
        <v>4.0947499999999994</v>
      </c>
      <c r="F24" s="148">
        <v>4.0545999999999998</v>
      </c>
      <c r="G24" s="148">
        <v>4.0025300000000001</v>
      </c>
      <c r="H24" s="148">
        <v>3.9428100000000001</v>
      </c>
      <c r="I24" s="148">
        <v>3.8770399999999996</v>
      </c>
      <c r="J24" s="148">
        <v>3.8158099999999999</v>
      </c>
      <c r="K24" s="148">
        <v>3.7561400000000003</v>
      </c>
      <c r="L24" s="148">
        <v>3.7001499999999998</v>
      </c>
      <c r="M24" s="148">
        <v>3.6496899999999997</v>
      </c>
      <c r="N24" s="148">
        <v>3.6031300000000002</v>
      </c>
      <c r="O24" s="148">
        <v>3.5567000000000002</v>
      </c>
      <c r="P24" s="148">
        <v>3.5123000000000002</v>
      </c>
      <c r="Q24" s="148">
        <v>3.4708500000000004</v>
      </c>
      <c r="R24" s="148">
        <v>3.4330500000000002</v>
      </c>
      <c r="S24" s="148">
        <v>3.3992799999999996</v>
      </c>
      <c r="T24" s="148">
        <v>3.3736899999999999</v>
      </c>
      <c r="U24" s="148">
        <v>3.3562000000000003</v>
      </c>
      <c r="V24" s="148">
        <v>3.3464200000000002</v>
      </c>
      <c r="W24" s="148">
        <v>3.3458799999999997</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1.12418</v>
      </c>
      <c r="E25" s="148">
        <v>1.1804600000000001</v>
      </c>
      <c r="F25" s="148">
        <v>1.19103</v>
      </c>
      <c r="G25" s="148">
        <v>1.19459</v>
      </c>
      <c r="H25" s="148">
        <v>1.20302</v>
      </c>
      <c r="I25" s="148">
        <v>1.2134799999999999</v>
      </c>
      <c r="J25" s="148">
        <v>1.2245600000000001</v>
      </c>
      <c r="K25" s="148">
        <v>1.2349300000000001</v>
      </c>
      <c r="L25" s="148">
        <v>1.24983</v>
      </c>
      <c r="M25" s="148">
        <v>1.26711</v>
      </c>
      <c r="N25" s="148">
        <v>1.2858100000000001</v>
      </c>
      <c r="O25" s="148">
        <v>1.30447</v>
      </c>
      <c r="P25" s="148">
        <v>1.3227800000000001</v>
      </c>
      <c r="Q25" s="148">
        <v>1.34083</v>
      </c>
      <c r="R25" s="148">
        <v>1.3565</v>
      </c>
      <c r="S25" s="148">
        <v>1.3699899999999998</v>
      </c>
      <c r="T25" s="148">
        <v>1.3825799999999999</v>
      </c>
      <c r="U25" s="148">
        <v>1.3931799999999999</v>
      </c>
      <c r="V25" s="148">
        <v>1.4013100000000001</v>
      </c>
      <c r="W25" s="148">
        <v>1.41099</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0.55616920000000003</v>
      </c>
      <c r="D26" s="148">
        <v>0.54702360000000005</v>
      </c>
      <c r="E26" s="148">
        <v>0.54794100000000001</v>
      </c>
      <c r="F26" s="148">
        <v>0.54885830000000002</v>
      </c>
      <c r="G26" s="148">
        <v>0.54977569999999998</v>
      </c>
      <c r="H26" s="148">
        <v>0.55069310000000005</v>
      </c>
      <c r="I26" s="148">
        <v>0.5516105</v>
      </c>
      <c r="J26" s="148">
        <v>0.55252780000000001</v>
      </c>
      <c r="K26" s="148">
        <v>0.55344519999999997</v>
      </c>
      <c r="L26" s="148">
        <v>0.55436260000000004</v>
      </c>
      <c r="M26" s="148">
        <v>0.55528</v>
      </c>
      <c r="N26" s="148">
        <v>0.55619730000000001</v>
      </c>
      <c r="O26" s="148">
        <v>0.55711469999999996</v>
      </c>
      <c r="P26" s="148">
        <v>0.55803210000000003</v>
      </c>
      <c r="Q26" s="148">
        <v>0.55894949999999999</v>
      </c>
      <c r="R26" s="148">
        <v>0.5598668</v>
      </c>
      <c r="S26" s="148">
        <v>0.56078419999999995</v>
      </c>
      <c r="T26" s="148">
        <v>0.56170160000000002</v>
      </c>
      <c r="U26" s="148">
        <v>0.56261899999999998</v>
      </c>
      <c r="V26" s="148">
        <v>0.56353629999999999</v>
      </c>
      <c r="W26" s="148">
        <v>0.56445369999999995</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6.4031729999999998</v>
      </c>
      <c r="D30" s="153">
        <v>5.7706480000000004</v>
      </c>
      <c r="E30" s="153">
        <v>2.5032939999999999</v>
      </c>
      <c r="F30" s="153">
        <v>2.144717</v>
      </c>
      <c r="G30" s="153">
        <v>2.0271189999999999</v>
      </c>
      <c r="H30" s="153">
        <v>1.276035</v>
      </c>
      <c r="I30" s="153">
        <v>0.98757760000000006</v>
      </c>
      <c r="J30" s="153">
        <v>1.177711</v>
      </c>
      <c r="K30" s="153">
        <v>1.3416950000000001</v>
      </c>
      <c r="L30" s="153">
        <v>1.26952</v>
      </c>
      <c r="M30" s="153">
        <v>1.185136</v>
      </c>
      <c r="N30" s="153">
        <v>1.0950310000000001</v>
      </c>
      <c r="O30" s="153">
        <v>1.0365249999999999</v>
      </c>
      <c r="P30" s="154">
        <v>1.083115</v>
      </c>
      <c r="Q30" s="154">
        <v>1.1297079999999999</v>
      </c>
      <c r="R30" s="154">
        <v>1.176302</v>
      </c>
      <c r="S30" s="154">
        <v>1.347296</v>
      </c>
      <c r="T30" s="154">
        <v>1.4308339999999999</v>
      </c>
      <c r="U30" s="154">
        <v>1.527658</v>
      </c>
      <c r="V30" s="154">
        <v>1.64174</v>
      </c>
      <c r="W30" s="154">
        <v>1.5633220000000001</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1127.8630000000001</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0.61783109999999997</v>
      </c>
      <c r="D33" s="153">
        <v>1.5467360000000001</v>
      </c>
      <c r="E33" s="153">
        <v>1.8783989999999999</v>
      </c>
      <c r="F33" s="153">
        <v>1.918555</v>
      </c>
      <c r="G33" s="153">
        <v>2.0213329999999998</v>
      </c>
      <c r="H33" s="153">
        <v>1.6085400000000001</v>
      </c>
      <c r="I33" s="153">
        <v>1.4316040000000001</v>
      </c>
      <c r="J33" s="153">
        <v>1.400641</v>
      </c>
      <c r="K33" s="153">
        <v>1.341691</v>
      </c>
      <c r="L33" s="153">
        <v>1.2695190000000001</v>
      </c>
      <c r="M33" s="153">
        <v>1.1851370000000001</v>
      </c>
      <c r="N33" s="153">
        <v>1.095032</v>
      </c>
      <c r="O33" s="153">
        <v>1.0365230000000001</v>
      </c>
      <c r="P33" s="154">
        <v>1.083116</v>
      </c>
      <c r="Q33" s="154">
        <v>1.1297079999999999</v>
      </c>
      <c r="R33" s="154">
        <v>1.176301</v>
      </c>
      <c r="S33" s="154">
        <v>1.3472949999999999</v>
      </c>
      <c r="T33" s="154">
        <v>1.430836</v>
      </c>
      <c r="U33" s="154">
        <v>1.527655</v>
      </c>
      <c r="V33" s="154">
        <v>1.6417390000000001</v>
      </c>
      <c r="W33" s="154">
        <v>1.563326</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1173.0429999999999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1.94496</v>
      </c>
      <c r="D37" s="147">
        <v>2.2273139999999998</v>
      </c>
      <c r="E37" s="147">
        <v>2.3933339999999999</v>
      </c>
      <c r="F37" s="147">
        <v>2.4819740000000001</v>
      </c>
      <c r="G37" s="147">
        <v>2.5283959999999999</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2.1800000000000002</v>
      </c>
      <c r="E39" s="147">
        <v>3.48</v>
      </c>
      <c r="F39" s="290">
        <v>3.2930959999999998</v>
      </c>
      <c r="G39" s="291">
        <v>3.4118309999999998</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2.656326</v>
      </c>
      <c r="D42" s="147">
        <v>4.1423170000000002</v>
      </c>
      <c r="E42" s="147">
        <v>5.9277860000000002</v>
      </c>
      <c r="F42" s="147">
        <v>3.2528440000000001</v>
      </c>
      <c r="G42" s="147">
        <v>2.3423060000000002</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6.9309485234915718</v>
      </c>
      <c r="D45" s="147">
        <v>11.906308458666208</v>
      </c>
      <c r="E45" s="147">
        <v>6.0726167049401747</v>
      </c>
      <c r="F45" s="147">
        <v>3.8484919420358179</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0.59699999999999998</v>
      </c>
      <c r="D50" s="59"/>
      <c r="E50" s="60" t="s">
        <v>70</v>
      </c>
    </row>
    <row r="51" spans="1:5" x14ac:dyDescent="0.2">
      <c r="A51" s="60"/>
      <c r="B51" s="60"/>
      <c r="C51" s="59"/>
      <c r="D51" s="59"/>
    </row>
    <row r="52" spans="1:5" x14ac:dyDescent="0.2">
      <c r="A52" s="60"/>
      <c r="B52" s="149" t="s">
        <v>247</v>
      </c>
      <c r="C52" s="161">
        <v>4.3291500000000003</v>
      </c>
      <c r="D52" s="59"/>
      <c r="E52" s="60" t="s">
        <v>71</v>
      </c>
    </row>
    <row r="53" spans="1:5" x14ac:dyDescent="0.2">
      <c r="A53" s="60"/>
      <c r="B53" s="149" t="s">
        <v>248</v>
      </c>
      <c r="C53" s="161">
        <v>2.7260900000000001</v>
      </c>
      <c r="D53" s="59"/>
      <c r="E53" s="60" t="s">
        <v>71</v>
      </c>
    </row>
    <row r="54" spans="1:5" x14ac:dyDescent="0.2">
      <c r="A54" s="60"/>
      <c r="B54" s="149" t="s">
        <v>249</v>
      </c>
      <c r="C54" s="147">
        <v>4</v>
      </c>
      <c r="D54" s="59"/>
      <c r="E54" s="60" t="s">
        <v>72</v>
      </c>
    </row>
    <row r="55" spans="1:5" x14ac:dyDescent="0.2">
      <c r="A55" s="60"/>
      <c r="B55" s="149" t="s">
        <v>250</v>
      </c>
      <c r="C55" s="147">
        <v>2</v>
      </c>
      <c r="D55" s="59"/>
      <c r="E55" s="60" t="s">
        <v>72</v>
      </c>
    </row>
    <row r="56" spans="1:5" x14ac:dyDescent="0.2">
      <c r="A56" s="60"/>
      <c r="B56" s="149"/>
      <c r="C56" s="59"/>
      <c r="D56" s="59"/>
    </row>
    <row r="57" spans="1:5" x14ac:dyDescent="0.2">
      <c r="A57" s="60"/>
      <c r="B57" s="60" t="s">
        <v>73</v>
      </c>
      <c r="C57" s="152">
        <v>6.2971200000000005E-2</v>
      </c>
      <c r="D57" s="197"/>
      <c r="E57" s="300" t="s">
        <v>175</v>
      </c>
    </row>
    <row r="58" spans="1:5" x14ac:dyDescent="0.2">
      <c r="A58" s="60"/>
      <c r="B58" s="60" t="s">
        <v>74</v>
      </c>
      <c r="C58" s="34">
        <f>1-C57</f>
        <v>0.9370288</v>
      </c>
      <c r="E58" s="300" t="s">
        <v>175</v>
      </c>
    </row>
    <row r="59" spans="1:5" x14ac:dyDescent="0.2">
      <c r="A59" s="60"/>
      <c r="B59" s="60" t="s">
        <v>251</v>
      </c>
      <c r="C59" s="152">
        <v>8.7639960000000003E-2</v>
      </c>
      <c r="E59" s="300" t="s">
        <v>176</v>
      </c>
    </row>
    <row r="60" spans="1:5" x14ac:dyDescent="0.2">
      <c r="A60" s="60"/>
      <c r="B60" s="60"/>
      <c r="C60" s="152"/>
    </row>
    <row r="61" spans="1:5" x14ac:dyDescent="0.2">
      <c r="A61" s="60"/>
      <c r="B61" s="60" t="s">
        <v>252</v>
      </c>
      <c r="C61" s="162">
        <v>2.5499999999999998</v>
      </c>
      <c r="E61" s="60" t="s">
        <v>75</v>
      </c>
    </row>
    <row r="62" spans="1:5" x14ac:dyDescent="0.2">
      <c r="A62" s="60"/>
      <c r="B62" s="60" t="s">
        <v>253</v>
      </c>
      <c r="C62" s="152">
        <v>2</v>
      </c>
      <c r="E62" s="60" t="s">
        <v>76</v>
      </c>
    </row>
    <row r="63" spans="1:5" x14ac:dyDescent="0.2">
      <c r="A63" s="60"/>
      <c r="B63" s="60"/>
      <c r="C63" s="152"/>
      <c r="E63" s="60"/>
    </row>
    <row r="64" spans="1:5" x14ac:dyDescent="0.2">
      <c r="A64" s="60"/>
      <c r="B64" s="60" t="s">
        <v>246</v>
      </c>
      <c r="C64" s="147">
        <v>44.110821663932271</v>
      </c>
      <c r="E64" s="60" t="s">
        <v>242</v>
      </c>
    </row>
    <row r="65" spans="1:7" x14ac:dyDescent="0.2">
      <c r="A65" s="60"/>
      <c r="B65" s="60"/>
      <c r="C65" s="152"/>
      <c r="E65" s="60"/>
    </row>
    <row r="66" spans="1:7" x14ac:dyDescent="0.2">
      <c r="A66" s="60"/>
      <c r="B66" s="60" t="s">
        <v>77</v>
      </c>
      <c r="C66" s="166">
        <v>0.82563905463276543</v>
      </c>
      <c r="D66" s="1"/>
      <c r="E66" s="60" t="s">
        <v>78</v>
      </c>
    </row>
    <row r="67" spans="1:7" x14ac:dyDescent="0.2">
      <c r="A67" s="60"/>
      <c r="B67" s="299" t="s">
        <v>177</v>
      </c>
      <c r="C67" s="166">
        <v>5.9641849880843596E-2</v>
      </c>
      <c r="D67" s="1"/>
      <c r="E67" s="60" t="s">
        <v>78</v>
      </c>
    </row>
    <row r="68" spans="1:7" x14ac:dyDescent="0.2">
      <c r="A68" s="60"/>
      <c r="B68" s="299" t="s">
        <v>178</v>
      </c>
      <c r="C68" s="166">
        <v>6.5034412012399442E-2</v>
      </c>
      <c r="D68" s="1"/>
      <c r="E68" s="60" t="s">
        <v>78</v>
      </c>
    </row>
    <row r="69" spans="1:7" x14ac:dyDescent="0.2">
      <c r="A69" s="60"/>
      <c r="B69" s="149" t="s">
        <v>79</v>
      </c>
      <c r="C69" s="166">
        <v>4.6284488164991311E-2</v>
      </c>
      <c r="D69" s="1"/>
      <c r="E69" s="60" t="s">
        <v>78</v>
      </c>
    </row>
    <row r="70" spans="1:7" x14ac:dyDescent="0.2">
      <c r="A70" s="60"/>
      <c r="B70" s="149" t="s">
        <v>80</v>
      </c>
      <c r="C70" s="166">
        <v>3.4001460337938329E-3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-6.42828369140625</v>
      </c>
      <c r="D74" s="34">
        <v>-8.938079833984375</v>
      </c>
      <c r="E74" s="34">
        <v>-10.785308837890625</v>
      </c>
      <c r="F74" s="34">
        <v>-12.480766296386719</v>
      </c>
      <c r="G74" s="34">
        <v>-13.710273742675781</v>
      </c>
    </row>
    <row r="75" spans="1:7" x14ac:dyDescent="0.2">
      <c r="A75" s="60"/>
      <c r="B75" s="300" t="s">
        <v>180</v>
      </c>
      <c r="C75" s="34">
        <v>-2.7411956787109375</v>
      </c>
      <c r="D75" s="34">
        <v>-3.786529541015625</v>
      </c>
      <c r="E75" s="34">
        <v>-4.4371795654296875</v>
      </c>
      <c r="F75" s="34">
        <v>-5.102752685546875</v>
      </c>
      <c r="G75" s="34">
        <v>-5.6885910034179688</v>
      </c>
    </row>
    <row r="76" spans="1:7" x14ac:dyDescent="0.2">
      <c r="A76" s="60"/>
      <c r="B76" s="300" t="s">
        <v>181</v>
      </c>
      <c r="C76" s="34">
        <v>2.6595001220703125</v>
      </c>
      <c r="D76" s="34">
        <v>3.7049789428710938</v>
      </c>
      <c r="E76" s="34">
        <v>4.507781982421875</v>
      </c>
      <c r="F76" s="34">
        <v>5.385650634765625</v>
      </c>
      <c r="G76" s="34">
        <v>6.066162109375</v>
      </c>
    </row>
    <row r="77" spans="1:7" x14ac:dyDescent="0.2">
      <c r="A77" s="60"/>
      <c r="B77" s="300" t="s">
        <v>182</v>
      </c>
      <c r="C77" s="34">
        <v>6.700836181640625</v>
      </c>
      <c r="D77" s="34">
        <v>9.2660446166992188</v>
      </c>
      <c r="E77" s="34">
        <v>11.406814575195313</v>
      </c>
      <c r="F77" s="34">
        <v>13.381721496582031</v>
      </c>
      <c r="G77" s="34">
        <v>15.085647583007813</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-2.1969370000000001</v>
      </c>
      <c r="D12" s="1">
        <f>'Input data'!D13</f>
        <v>-2.3947409999999998</v>
      </c>
      <c r="E12" s="2">
        <f>'Input data'!E13</f>
        <v>-1.6308560000000001</v>
      </c>
      <c r="F12" s="2">
        <f>'Input data'!F13</f>
        <v>-0.84895830000000005</v>
      </c>
      <c r="G12" s="1">
        <f>F12</f>
        <v>-0.84895830000000005</v>
      </c>
      <c r="H12" s="1">
        <f t="shared" ref="H12:W12" si="0">G12</f>
        <v>-0.84895830000000005</v>
      </c>
      <c r="I12" s="1">
        <f t="shared" si="0"/>
        <v>-0.84895830000000005</v>
      </c>
      <c r="J12" s="1">
        <f t="shared" si="0"/>
        <v>-0.84895830000000005</v>
      </c>
      <c r="K12" s="1">
        <f t="shared" si="0"/>
        <v>-0.84895830000000005</v>
      </c>
      <c r="L12" s="1">
        <f t="shared" si="0"/>
        <v>-0.84895830000000005</v>
      </c>
      <c r="M12" s="1">
        <f t="shared" si="0"/>
        <v>-0.84895830000000005</v>
      </c>
      <c r="N12" s="1">
        <f t="shared" si="0"/>
        <v>-0.84895830000000005</v>
      </c>
      <c r="O12" s="1">
        <f t="shared" si="0"/>
        <v>-0.84895830000000005</v>
      </c>
      <c r="P12" s="1">
        <f t="shared" si="0"/>
        <v>-0.84895830000000005</v>
      </c>
      <c r="Q12" s="1">
        <f t="shared" si="0"/>
        <v>-0.84895830000000005</v>
      </c>
      <c r="R12" s="1">
        <f t="shared" si="0"/>
        <v>-0.84895830000000005</v>
      </c>
      <c r="S12" s="1">
        <f t="shared" si="0"/>
        <v>-0.84895830000000005</v>
      </c>
      <c r="T12" s="1">
        <f t="shared" si="0"/>
        <v>-0.84895830000000005</v>
      </c>
      <c r="U12" s="1">
        <f t="shared" si="0"/>
        <v>-0.84895830000000005</v>
      </c>
      <c r="V12" s="1">
        <f t="shared" si="0"/>
        <v>-0.84895830000000005</v>
      </c>
      <c r="W12" s="1">
        <f t="shared" si="0"/>
        <v>-0.84895830000000005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-9.2449400000000001E-2</v>
      </c>
      <c r="D13" s="1">
        <f>'Input data'!D14</f>
        <v>-6.6846100000000006E-2</v>
      </c>
      <c r="E13" s="2">
        <f>'Input data'!E14</f>
        <v>0</v>
      </c>
      <c r="F13" s="2">
        <f>'Input data'!F14</f>
        <v>-0.18809000000000001</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1.03254E-2</v>
      </c>
      <c r="D14" s="1">
        <f>'Input data'!D15</f>
        <v>0.81181420000000004</v>
      </c>
      <c r="E14" s="2">
        <f>'Input data'!E15</f>
        <v>1.217482</v>
      </c>
      <c r="F14" s="2">
        <f>'Input data'!F15</f>
        <v>0.45447080000000001</v>
      </c>
      <c r="G14" s="2">
        <f>'Input data'!G15</f>
        <v>0.94</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22.788010000000003</v>
      </c>
      <c r="E17" s="101">
        <f>'Input data'!E20</f>
        <v>23.134040000000002</v>
      </c>
      <c r="F17" s="101">
        <f>'Input data'!F20</f>
        <v>23.198610000000002</v>
      </c>
      <c r="G17" s="101">
        <f>'Input data'!G20</f>
        <v>23.248739999999998</v>
      </c>
      <c r="H17" s="101">
        <f>'Input data'!H20</f>
        <v>23.324060000000006</v>
      </c>
      <c r="I17" s="101">
        <f>'Input data'!I20</f>
        <v>23.427720000000001</v>
      </c>
      <c r="J17" s="101">
        <f>'Input data'!J20</f>
        <v>23.512549999999997</v>
      </c>
      <c r="K17" s="101">
        <f>'Input data'!K20</f>
        <v>23.64058</v>
      </c>
      <c r="L17" s="101">
        <f>'Input data'!L20</f>
        <v>23.807760000000002</v>
      </c>
      <c r="M17" s="101">
        <f>'Input data'!M20</f>
        <v>24.019580000000001</v>
      </c>
      <c r="N17" s="101">
        <f>'Input data'!N20</f>
        <v>24.259330000000002</v>
      </c>
      <c r="O17" s="101">
        <f>'Input data'!O20</f>
        <v>24.501700000000003</v>
      </c>
      <c r="P17" s="101">
        <f>'Input data'!P20</f>
        <v>24.736699999999999</v>
      </c>
      <c r="Q17" s="101">
        <f>'Input data'!Q20</f>
        <v>24.956709999999998</v>
      </c>
      <c r="R17" s="101">
        <f>'Input data'!R20</f>
        <v>25.159790000000001</v>
      </c>
      <c r="S17" s="101">
        <f>'Input data'!S20</f>
        <v>25.349450000000001</v>
      </c>
      <c r="T17" s="101">
        <f>'Input data'!T20</f>
        <v>25.535530000000001</v>
      </c>
      <c r="U17" s="101">
        <f>'Input data'!U20</f>
        <v>25.718830000000001</v>
      </c>
      <c r="V17" s="101">
        <f>'Input data'!V20</f>
        <v>25.881730000000001</v>
      </c>
      <c r="W17" s="101">
        <f>'Input data'!W20</f>
        <v>26.077779999999997</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0.55616920000000003</v>
      </c>
      <c r="D18" s="1">
        <f>'Input data'!D26</f>
        <v>0.54702360000000005</v>
      </c>
      <c r="E18" s="101">
        <f>'Input data'!E26</f>
        <v>0.54794100000000001</v>
      </c>
      <c r="F18" s="101">
        <f>'Input data'!F26</f>
        <v>0.54885830000000002</v>
      </c>
      <c r="G18" s="101">
        <f>'Input data'!G26</f>
        <v>0.54977569999999998</v>
      </c>
      <c r="H18" s="101">
        <f>'Input data'!H26</f>
        <v>0.55069310000000005</v>
      </c>
      <c r="I18" s="101">
        <f>'Input data'!I26</f>
        <v>0.5516105</v>
      </c>
      <c r="J18" s="101">
        <f>'Input data'!J26</f>
        <v>0.55252780000000001</v>
      </c>
      <c r="K18" s="101">
        <f>'Input data'!K26</f>
        <v>0.55344519999999997</v>
      </c>
      <c r="L18" s="101">
        <f>'Input data'!L26</f>
        <v>0.55436260000000004</v>
      </c>
      <c r="M18" s="101">
        <f>'Input data'!M26</f>
        <v>0.55528</v>
      </c>
      <c r="N18" s="101">
        <f>'Input data'!N26</f>
        <v>0.55619730000000001</v>
      </c>
      <c r="O18" s="101">
        <f>'Input data'!O26</f>
        <v>0.55711469999999996</v>
      </c>
      <c r="P18" s="101">
        <f>'Input data'!P26</f>
        <v>0.55803210000000003</v>
      </c>
      <c r="Q18" s="101">
        <f>'Input data'!Q26</f>
        <v>0.55894949999999999</v>
      </c>
      <c r="R18" s="101">
        <f>'Input data'!R26</f>
        <v>0.5598668</v>
      </c>
      <c r="S18" s="101">
        <f>'Input data'!S26</f>
        <v>0.56078419999999995</v>
      </c>
      <c r="T18" s="101">
        <f>'Input data'!T26</f>
        <v>0.56170160000000002</v>
      </c>
      <c r="U18" s="101">
        <f>'Input data'!U26</f>
        <v>0.56261899999999998</v>
      </c>
      <c r="V18" s="101">
        <f>'Input data'!V26</f>
        <v>0.56353629999999999</v>
      </c>
      <c r="W18" s="101">
        <f>'Input data'!W26</f>
        <v>0.56445369999999995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1127.8630000000001</v>
      </c>
      <c r="D22" s="34">
        <f>C22*(D23/100+1)</f>
        <v>1192.94800365224</v>
      </c>
      <c r="E22" s="100">
        <f t="shared" ref="E22:F22" si="1">D22*(E23/100+1)</f>
        <v>1222.8109994507863</v>
      </c>
      <c r="F22" s="100">
        <f t="shared" si="1"/>
        <v>1249.0368348338773</v>
      </c>
      <c r="G22" s="100">
        <f>F22*(G23/100+1)</f>
        <v>1274.3562978297934</v>
      </c>
      <c r="H22" s="34">
        <f>IF(AND(H49&gt;1,G49&gt;1),IF(AND(H49&gt;0,G49&gt;0),H26*(H50/100+1),0)+IF(H49&gt;0,G22*(1+H51/100),0)-G22*(1+'Input data'!H30/100),IF(H49=1,H26,G22*(1+H51/100)))</f>
        <v>1290.6175302148058</v>
      </c>
      <c r="I22" s="34">
        <f>IF(AND(I49&gt;1,H49&gt;1),IF(AND(I49&gt;0,H49&gt;0),I26*(I50/100+1),0)+IF(I49&gt;0,H22*(1+I51/100),0)-H22*(1+'Input data'!I30/100),IF(I49=1,I26,H22*(1+I51/100)))</f>
        <v>1303.3633798448802</v>
      </c>
      <c r="J22" s="34">
        <f>IF(AND(J49&gt;1,I49&gt;1),IF(AND(J49&gt;0,I49&gt;0),J26*(J50/100+1),0)+IF(J49&gt;0,I22*(1+J51/100),0)-I22*(1+'Input data'!J30/100),IF(J49=1,J26,I22*(1+J51/100)))</f>
        <v>1318.713233739285</v>
      </c>
      <c r="K22" s="34">
        <f>IF(AND(K49&gt;1,J49&gt;1),IF(AND(K49&gt;0,J49&gt;0),K26*(K50/100+1),0)+IF(K49&gt;0,J22*(1+K51/100),0)-J22*(1+'Input data'!K30/100),IF(K49=1,K26,J22*(1+K51/100)))</f>
        <v>1336.4063432607034</v>
      </c>
      <c r="L22" s="34">
        <f>IF(AND(L49&gt;1,K49&gt;1),IF(AND(L49&gt;0,K49&gt;0),L26*(L50/100+1),0)+IF(L49&gt;0,K22*(1+L51/100),0)-K22*(1+'Input data'!L30/100),IF(L49=1,L26,K22*(1+L51/100)))</f>
        <v>1353.3722890696667</v>
      </c>
      <c r="M22" s="34">
        <f>IF(AND(M49&gt;1,L49&gt;1),IF(AND(M49&gt;0,L49&gt;0),M26*(M50/100+1),0)+IF(M49&gt;0,L22*(1+M51/100),0)-L22*(1+'Input data'!M30/100),IF(M49=1,M26,L22*(1+M51/100)))</f>
        <v>1369.4115912814555</v>
      </c>
      <c r="N22" s="34">
        <f>IF(AND(N49&gt;1,M49&gt;1),IF(AND(N49&gt;0,M49&gt;0),N26*(N50/100+1),0)+IF(N49&gt;0,M22*(1+N51/100),0)-M22*(1+'Input data'!N30/100),IF(N49=1,N26,M22*(1+N51/100)))</f>
        <v>1384.4070727235805</v>
      </c>
      <c r="O22" s="34">
        <f>IF(AND(O49&gt;1,N49&gt;1),IF(AND(O49&gt;0,N49&gt;0),O26*(O50/100+1),0)+IF(O49&gt;0,N22*(1+O51/100),0)-N22*(1+'Input data'!O30/100),IF(O49=1,O26,N22*(1+O51/100)))</f>
        <v>1398.7567981341285</v>
      </c>
      <c r="P22" s="34">
        <f>IF(AND(P49&gt;1,O49&gt;1),IF(AND(P49&gt;0,O49&gt;0),P26*(P50/100+1),0)+IF(P49&gt;0,O22*(1+P51/100),0)-O22*(1+'Input data'!P30/100),IF(P49=1,P26,O22*(1+P51/100)))</f>
        <v>1413.9069428282389</v>
      </c>
      <c r="Q22" s="34">
        <f>IF(AND(Q49&gt;1,P49&gt;1),IF(AND(Q49&gt;0,P49&gt;0),Q26*(Q50/100+1),0)+IF(Q49&gt;0,P22*(1+Q51/100),0)-P22*(1+'Input data'!Q30/100),IF(Q49=1,Q26,P22*(1+Q51/100)))</f>
        <v>1429.8799626739251</v>
      </c>
      <c r="R22" s="34">
        <f>IF(AND(R49&gt;1,Q49&gt;1),IF(AND(R49&gt;0,Q49&gt;0),R26*(R50/100+1),0)+IF(R49&gt;0,Q22*(1+R51/100),0)-Q22*(1+'Input data'!R30/100),IF(R49=1,R26,Q22*(1+R51/100)))</f>
        <v>1446.6996692724579</v>
      </c>
      <c r="S22" s="34">
        <f>IF(AND(S49&gt;1,R49&gt;1),IF(AND(S49&gt;0,R49&gt;0),S26*(S50/100+1),0)+IF(S49&gt;0,R22*(1+S51/100),0)-R22*(1+'Input data'!S30/100),IF(S49=1,S26,R22*(1+S51/100)))</f>
        <v>1466.1909960485791</v>
      </c>
      <c r="T22" s="34">
        <f>IF(AND(T49&gt;1,S49&gt;1),IF(AND(T49&gt;0,S49&gt;0),T26*(T50/100+1),0)+IF(T49&gt;0,S22*(1+T51/100),0)-S22*(1+'Input data'!T30/100),IF(T49=1,T26,S22*(1+T51/100)))</f>
        <v>1487.1697553249808</v>
      </c>
      <c r="U22" s="34">
        <f>IF(AND(U49&gt;1,T49&gt;1),IF(AND(U49&gt;0,T49&gt;0),U26*(U50/100+1),0)+IF(U49&gt;0,T22*(1+U51/100),0)-T22*(1+'Input data'!U30/100),IF(U49=1,U26,T22*(1+U51/100)))</f>
        <v>1509.8886230657833</v>
      </c>
      <c r="V22" s="34">
        <f>IF(AND(V49&gt;1,U49&gt;1),IF(AND(V49&gt;0,U49&gt;0),V26*(V50/100+1),0)+IF(V49&gt;0,U22*(1+V51/100),0)-U22*(1+'Input data'!V30/100),IF(V49=1,V26,U22*(1+V51/100)))</f>
        <v>1534.6770685461033</v>
      </c>
      <c r="W22" s="34">
        <f>IF(AND(W49&gt;1,V49&gt;1),IF(AND(W49&gt;0,V49&gt;0),W26*(W50/100+1),0)+IF(W49&gt;0,V22*(1+W51/100),0)-V22*(1+'Input data'!W30/100),IF(W49=1,W26,V22*(1+W51/100)))</f>
        <v>1558.6690127876398</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6.4031729999999998</v>
      </c>
      <c r="D23" s="34">
        <f>+'Input data'!D30</f>
        <v>5.7706480000000004</v>
      </c>
      <c r="E23" s="100">
        <f>+'Input data'!E30</f>
        <v>2.5032939999999999</v>
      </c>
      <c r="F23" s="100">
        <f>+'Input data'!F30</f>
        <v>2.144717</v>
      </c>
      <c r="G23" s="100">
        <f>+'Input data'!G30</f>
        <v>2.0271189999999999</v>
      </c>
      <c r="H23" s="34">
        <f>100*(H22/G22-1)</f>
        <v>1.2760349999999976</v>
      </c>
      <c r="I23" s="34">
        <f>100*(I22/H22-1)</f>
        <v>0.98757759999998918</v>
      </c>
      <c r="J23" s="34">
        <f t="shared" ref="J23:T23" si="2">100*(J22/I22-1)</f>
        <v>1.1777109999999924</v>
      </c>
      <c r="K23" s="34">
        <f t="shared" si="2"/>
        <v>1.3416950000000094</v>
      </c>
      <c r="L23" s="34">
        <f t="shared" si="2"/>
        <v>1.2695200000000018</v>
      </c>
      <c r="M23" s="34">
        <f t="shared" si="2"/>
        <v>1.1851360000000088</v>
      </c>
      <c r="N23" s="34">
        <f t="shared" si="2"/>
        <v>1.0950309999999908</v>
      </c>
      <c r="O23" s="34">
        <f t="shared" si="2"/>
        <v>1.0365249999999993</v>
      </c>
      <c r="P23" s="34">
        <f t="shared" si="2"/>
        <v>1.0831150000000012</v>
      </c>
      <c r="Q23" s="34">
        <f t="shared" si="2"/>
        <v>1.129708000000007</v>
      </c>
      <c r="R23" s="34">
        <f t="shared" si="2"/>
        <v>1.1763020000000068</v>
      </c>
      <c r="S23" s="34">
        <f t="shared" si="2"/>
        <v>1.3472960000000089</v>
      </c>
      <c r="T23" s="34">
        <f t="shared" si="2"/>
        <v>1.4308339999999919</v>
      </c>
      <c r="U23" s="34">
        <f t="shared" ref="U23" si="3">100*(U22/T22-1)</f>
        <v>1.5276580000000095</v>
      </c>
      <c r="V23" s="34">
        <f t="shared" ref="V23" si="4">100*(V22/U22-1)</f>
        <v>1.6417399999999915</v>
      </c>
      <c r="W23" s="34">
        <f t="shared" ref="W23" si="5">100*(W22/V22-1)</f>
        <v>1.5633220000000003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1173.0429999999999</v>
      </c>
      <c r="D26" s="34">
        <f>+C26*(1+'Input data'!D33/100)</f>
        <v>1191.1868783764799</v>
      </c>
      <c r="E26" s="100">
        <f>+D26*(1+'Input data'!E33/100)</f>
        <v>1213.5621207880349</v>
      </c>
      <c r="F26" s="100">
        <f>+E26*(1+'Input data'!F33/100)</f>
        <v>1236.8449775345198</v>
      </c>
      <c r="G26" s="100">
        <f>+F26*(1+'Input data'!G33/100)</f>
        <v>1261.8457332242676</v>
      </c>
      <c r="H26" s="34">
        <f>+G26*(1+'Input data'!H33/100)</f>
        <v>1282.1430265814731</v>
      </c>
      <c r="I26" s="34">
        <f>+H26*(1+'Input data'!I33/100)</f>
        <v>1300.4982374357346</v>
      </c>
      <c r="J26" s="34">
        <f>+I26*(1+'Input data'!J33/100)</f>
        <v>1318.7135489535367</v>
      </c>
      <c r="K26" s="34">
        <f>+J26*(1+'Input data'!K33/100)</f>
        <v>1336.4066099556267</v>
      </c>
      <c r="L26" s="34">
        <f>+K26*(1+'Input data'!L33/100)</f>
        <v>1353.3725457862693</v>
      </c>
      <c r="M26" s="34">
        <f>+L26*(1+'Input data'!M33/100)</f>
        <v>1369.4118645742244</v>
      </c>
      <c r="N26" s="34">
        <f>+M26*(1+'Input data'!N33/100)</f>
        <v>1384.4073627031089</v>
      </c>
      <c r="O26" s="34">
        <f>+N26*(1+'Input data'!O33/100)</f>
        <v>1398.7570634312199</v>
      </c>
      <c r="P26" s="34">
        <f>+O26*(1+'Input data'!P33/100)</f>
        <v>1413.9072249863734</v>
      </c>
      <c r="Q26" s="34">
        <f>+P26*(1+'Input data'!Q33/100)</f>
        <v>1429.8802480196225</v>
      </c>
      <c r="R26" s="34">
        <f>+Q26*(1+'Input data'!R33/100)</f>
        <v>1446.6999436758797</v>
      </c>
      <c r="S26" s="34">
        <f>+R26*(1+'Input data'!S33/100)</f>
        <v>1466.1912596820275</v>
      </c>
      <c r="T26" s="34">
        <f>+S26*(1+'Input data'!T33/100)</f>
        <v>1487.1700520544116</v>
      </c>
      <c r="U26" s="34">
        <f>+T26*(1+'Input data'!U33/100)</f>
        <v>1509.8888797131235</v>
      </c>
      <c r="V26" s="34">
        <f>+U26*(1+'Input data'!V33/100)</f>
        <v>1534.677314308037</v>
      </c>
      <c r="W26" s="34">
        <f>+V26*(1+'Input data'!W33/100)</f>
        <v>1558.6693237787163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-3.851521214482323</v>
      </c>
      <c r="D29" s="34">
        <f t="shared" si="6"/>
        <v>0.14784626222212882</v>
      </c>
      <c r="E29" s="100">
        <f t="shared" si="6"/>
        <v>0.76212651205243009</v>
      </c>
      <c r="F29" s="100">
        <f t="shared" si="6"/>
        <v>0.9857223436085194</v>
      </c>
      <c r="G29" s="100">
        <f t="shared" si="6"/>
        <v>0.99144961037025414</v>
      </c>
      <c r="H29" s="34">
        <f>100*(H22/H26-1)</f>
        <v>0.66096398433237447</v>
      </c>
      <c r="I29" s="34">
        <f t="shared" si="6"/>
        <v>0.22031113358484955</v>
      </c>
      <c r="J29" s="34">
        <f t="shared" si="6"/>
        <v>-2.3903163193228494E-5</v>
      </c>
      <c r="K29" s="34">
        <f t="shared" si="6"/>
        <v>-1.9956121233288826E-5</v>
      </c>
      <c r="L29" s="34">
        <f t="shared" si="6"/>
        <v>-1.8968657466977845E-5</v>
      </c>
      <c r="M29" s="34">
        <f t="shared" si="6"/>
        <v>-1.9956944730115111E-5</v>
      </c>
      <c r="N29" s="34">
        <f t="shared" si="6"/>
        <v>-2.0946112844200115E-5</v>
      </c>
      <c r="O29" s="34">
        <f t="shared" si="6"/>
        <v>-1.8966631043504378E-5</v>
      </c>
      <c r="P29" s="34">
        <f t="shared" si="6"/>
        <v>-1.9955915742109198E-5</v>
      </c>
      <c r="Q29" s="34">
        <f t="shared" si="6"/>
        <v>-1.9955915731006968E-5</v>
      </c>
      <c r="R29" s="34">
        <f t="shared" si="6"/>
        <v>-1.8967542170233997E-5</v>
      </c>
      <c r="S29" s="34">
        <f t="shared" si="6"/>
        <v>-1.7980836175546244E-5</v>
      </c>
      <c r="T29" s="34">
        <f t="shared" si="6"/>
        <v>-1.9952622798413699E-5</v>
      </c>
      <c r="U29" s="34">
        <f t="shared" ref="U29:W29" si="7">100*(U22/U26-1)</f>
        <v>-1.6997763452319958E-5</v>
      </c>
      <c r="V29" s="34">
        <f t="shared" si="7"/>
        <v>-1.6013915848933635E-5</v>
      </c>
      <c r="W29" s="34">
        <f t="shared" si="7"/>
        <v>-1.9952344720852722E-5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9.2295881492239893</v>
      </c>
      <c r="D32" s="1">
        <f t="shared" si="8"/>
        <v>10.152003533114161</v>
      </c>
      <c r="E32" s="2">
        <f t="shared" si="8"/>
        <v>8.5794699112708308</v>
      </c>
      <c r="F32" s="2">
        <f t="shared" si="8"/>
        <v>5.4673252982514908</v>
      </c>
      <c r="G32" s="2">
        <f>100*((1+G23/100)*(1+G41/100)-1)</f>
        <v>4.4169063299641653</v>
      </c>
      <c r="H32" s="1">
        <f>100*((1+H23/100)*(1+H41/100)-1)</f>
        <v>3.674522675383729</v>
      </c>
      <c r="I32" s="1">
        <f t="shared" si="8"/>
        <v>3.4054519742345635</v>
      </c>
      <c r="J32" s="1">
        <f t="shared" si="8"/>
        <v>3.6264051085722615</v>
      </c>
      <c r="K32" s="1">
        <f t="shared" si="8"/>
        <v>3.8206679124933585</v>
      </c>
      <c r="L32" s="1">
        <f t="shared" si="8"/>
        <v>3.7730187411741944</v>
      </c>
      <c r="M32" s="1">
        <f t="shared" si="8"/>
        <v>3.7128181039090435</v>
      </c>
      <c r="N32" s="1">
        <f t="shared" si="8"/>
        <v>3.6467082512893434</v>
      </c>
      <c r="O32" s="1">
        <f t="shared" si="8"/>
        <v>3.6129563875000104</v>
      </c>
      <c r="P32" s="1">
        <f t="shared" si="8"/>
        <v>3.632936575875001</v>
      </c>
      <c r="Q32" s="1">
        <f t="shared" si="8"/>
        <v>3.6528942145999999</v>
      </c>
      <c r="R32" s="1">
        <f t="shared" si="8"/>
        <v>3.6728272518500082</v>
      </c>
      <c r="S32" s="1">
        <f t="shared" si="8"/>
        <v>3.8201700224000046</v>
      </c>
      <c r="T32" s="1">
        <f t="shared" si="8"/>
        <v>3.8778528702499759</v>
      </c>
      <c r="U32" s="1">
        <f t="shared" si="8"/>
        <v>3.9490926433000118</v>
      </c>
      <c r="V32" s="1">
        <f t="shared" si="8"/>
        <v>4.0379440204999728</v>
      </c>
      <c r="W32" s="1">
        <f t="shared" si="8"/>
        <v>3.9297474026000145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1.94496</v>
      </c>
      <c r="D35" s="1">
        <f>'Input data'!D37</f>
        <v>2.2273139999999998</v>
      </c>
      <c r="E35" s="2">
        <f>'Input data'!E37</f>
        <v>2.3933339999999999</v>
      </c>
      <c r="F35" s="2">
        <f>'Input data'!F37</f>
        <v>2.4819740000000001</v>
      </c>
      <c r="G35" s="2">
        <f>'Input data'!G37</f>
        <v>2.5283959999999999</v>
      </c>
      <c r="H35" s="1">
        <f>H96</f>
        <v>2.6437002858495018</v>
      </c>
      <c r="I35" s="1">
        <f t="shared" ref="I35:W35" si="9">I96</f>
        <v>2.7505036847138813</v>
      </c>
      <c r="J35" s="1">
        <f t="shared" si="9"/>
        <v>2.8613069498267953</v>
      </c>
      <c r="K35" s="1">
        <f t="shared" si="9"/>
        <v>2.9744226656426664</v>
      </c>
      <c r="L35" s="1">
        <f t="shared" si="9"/>
        <v>3.0888429038449274</v>
      </c>
      <c r="M35" s="1">
        <f t="shared" si="9"/>
        <v>3.2046447213439149</v>
      </c>
      <c r="N35" s="1">
        <f t="shared" si="9"/>
        <v>3.3218964432852012</v>
      </c>
      <c r="O35" s="1">
        <f t="shared" si="9"/>
        <v>3.4404847525592412</v>
      </c>
      <c r="P35" s="1">
        <f t="shared" si="9"/>
        <v>3.5418801831020281</v>
      </c>
      <c r="Q35" s="1">
        <f t="shared" si="9"/>
        <v>3.6287394108666184</v>
      </c>
      <c r="R35" s="1">
        <f t="shared" si="9"/>
        <v>3.702348266440425</v>
      </c>
      <c r="S35" s="1">
        <f t="shared" si="9"/>
        <v>3.7640100443034847</v>
      </c>
      <c r="T35" s="1">
        <f>T96</f>
        <v>3.8150295195177479</v>
      </c>
      <c r="U35" s="1">
        <f t="shared" si="9"/>
        <v>3.8566592933014072</v>
      </c>
      <c r="V35" s="1">
        <f t="shared" si="9"/>
        <v>3.890053793524674</v>
      </c>
      <c r="W35" s="1">
        <f t="shared" si="9"/>
        <v>3.9162383001455829</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3.48</v>
      </c>
      <c r="F36" s="166">
        <f>'Input data'!F39</f>
        <v>3.2930959999999998</v>
      </c>
      <c r="G36" s="166">
        <f>'Input data'!G39</f>
        <v>3.4118309999999998</v>
      </c>
      <c r="H36" s="1">
        <f>G36+($O$36-$G$36)/($O$10-$G$10)</f>
        <v>3.5264958749999997</v>
      </c>
      <c r="I36" s="1">
        <f t="shared" ref="I36:M36" si="10">H36+($O$36-$G$36)/($O$10-$G$10)</f>
        <v>3.6411607499999996</v>
      </c>
      <c r="J36" s="1">
        <f t="shared" si="10"/>
        <v>3.7558256249999995</v>
      </c>
      <c r="K36" s="1">
        <f t="shared" si="10"/>
        <v>3.8704904999999994</v>
      </c>
      <c r="L36" s="1">
        <f t="shared" si="10"/>
        <v>3.9851553749999993</v>
      </c>
      <c r="M36" s="1">
        <f t="shared" si="10"/>
        <v>4.0998202499999996</v>
      </c>
      <c r="N36" s="1">
        <f>M36+($O$36-$G$36)/($O$10-$G$10)</f>
        <v>4.2144851249999995</v>
      </c>
      <c r="O36" s="252">
        <f>'Input data'!$C$52</f>
        <v>4.3291500000000003</v>
      </c>
      <c r="P36" s="1">
        <f>$O$36+('Input data'!$C$54-'Input data'!$C$52)/20*('Baseline NFPC'!P$10-2033)</f>
        <v>4.3126925000000007</v>
      </c>
      <c r="Q36" s="1">
        <f>$O$36+('Input data'!$C$54-'Input data'!$C$52)/20*('Baseline NFPC'!Q$10-2033)</f>
        <v>4.2962350000000002</v>
      </c>
      <c r="R36" s="1">
        <f>$O$36+('Input data'!$C$54-'Input data'!$C$52)/20*('Baseline NFPC'!R$10-2033)</f>
        <v>4.2797774999999998</v>
      </c>
      <c r="S36" s="1">
        <f>$O$36+('Input data'!$C$54-'Input data'!$C$52)/20*('Baseline NFPC'!S$10-2033)</f>
        <v>4.2633200000000002</v>
      </c>
      <c r="T36" s="1">
        <f>$O$36+('Input data'!$C$54-'Input data'!$C$52)/20*('Baseline NFPC'!T$10-2033)</f>
        <v>4.2468625000000007</v>
      </c>
      <c r="U36" s="1">
        <f>$O$36+('Input data'!$C$54-'Input data'!$C$52)/20*('Baseline NFPC'!U$10-2033)</f>
        <v>4.2304050000000002</v>
      </c>
      <c r="V36" s="1">
        <f>$O$36+('Input data'!$C$54-'Input data'!$C$52)/20*('Baseline NFPC'!V$10-2033)</f>
        <v>4.2139474999999997</v>
      </c>
      <c r="W36" s="1">
        <f>$O$36+('Input data'!$C$54-'Input data'!$C$52)/20*('Baseline NFPC'!W$10-2033)</f>
        <v>4.1974900000000002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9.2594570000000001E-2</v>
      </c>
      <c r="D38" s="1">
        <v>6.7370540000000007E-2</v>
      </c>
      <c r="E38" s="1">
        <v>9.4524629999999998E-2</v>
      </c>
      <c r="F38" s="1">
        <v>8.5181549999999995E-2</v>
      </c>
      <c r="G38" s="1">
        <f>IF(OR($C$3="EL",$C$3="CY",$C$3="IE",$C$3="PT"),VLOOKUP($C$3,$B$110:$T$114,MATCH(G$10,$B$110:$T$110,0),0),$F$38+('Input data'!$C$59-$F$38)/($O$10-$F$10)*(G10-$F$10))</f>
        <v>8.5454706666666658E-2</v>
      </c>
      <c r="H38" s="1">
        <f>IF(OR($C$3="EL",$C$3="CY",$C$3="IE",$C$3="PT"),VLOOKUP($C$3,$B$110:$T$114,MATCH(H$10,$B$110:$T$110,0),0),$F$38+('Input data'!$C$59-$F$38)/($O$10-$F$10)*(H10-$F$10))</f>
        <v>8.5727863333333335E-2</v>
      </c>
      <c r="I38" s="1">
        <f>IF(OR($C$3="EL",$C$3="CY",$C$3="IE",$C$3="PT"),VLOOKUP($C$3,$B$110:$T$114,MATCH(I$10,$B$110:$T$110,0),0),$F$38+('Input data'!$C$59-$F$38)/($O$10-$F$10)*(I10-$F$10))</f>
        <v>8.6001019999999997E-2</v>
      </c>
      <c r="J38" s="1">
        <f>IF(OR($C$3="EL",$C$3="CY",$C$3="IE",$C$3="PT"),VLOOKUP($C$3,$B$110:$T$114,MATCH(J$10,$B$110:$T$110,0),0),$F$38+('Input data'!$C$59-$F$38)/($O$10-$F$10)*(J10-$F$10))</f>
        <v>8.627417666666666E-2</v>
      </c>
      <c r="K38" s="1">
        <f>IF(OR($C$3="EL",$C$3="CY",$C$3="IE",$C$3="PT"),VLOOKUP($C$3,$B$110:$T$114,MATCH(K$10,$B$110:$T$110,0),0),$F$38+('Input data'!$C$59-$F$38)/($O$10-$F$10)*(K10-$F$10))</f>
        <v>8.6547333333333337E-2</v>
      </c>
      <c r="L38" s="1">
        <f>IF(OR($C$3="EL",$C$3="CY",$C$3="IE",$C$3="PT"),VLOOKUP($C$3,$B$110:$T$114,MATCH(L$10,$B$110:$T$110,0),0),$F$38+('Input data'!$C$59-$F$38)/($O$10-$F$10)*(L10-$F$10))</f>
        <v>8.682049E-2</v>
      </c>
      <c r="M38" s="1">
        <f>IF(OR($C$3="EL",$C$3="CY",$C$3="IE",$C$3="PT"),VLOOKUP($C$3,$B$110:$T$114,MATCH(M$10,$B$110:$T$110,0),0),$F$38+('Input data'!$C$59-$F$38)/($O$10-$F$10)*(M10-$F$10))</f>
        <v>8.7093646666666663E-2</v>
      </c>
      <c r="N38" s="1">
        <f>IF(OR($C$3="EL",$C$3="CY",$C$3="IE",$C$3="PT"),VLOOKUP($C$3,$B$110:$T$114,MATCH(N$10,$B$110:$T$110,0),0),$F$38+('Input data'!$C$59-$F$38)/($O$10-$F$10)*(N10-$F$10))</f>
        <v>8.736680333333334E-2</v>
      </c>
      <c r="O38" s="252">
        <f>IF(OR($C$3="EL",$C$3="CY",$C$3="IE",$C$3="PT"),VLOOKUP($C$3,$B$110:$T$114,MATCH(O$10,$B$110:$T$110,0),0),'Input data'!$C$59)</f>
        <v>8.7639960000000003E-2</v>
      </c>
      <c r="P38" s="1">
        <f>IF(OR($C$3="EL",$C$3="CY",$C$3="IE",$C$3="PT"),VLOOKUP($C$3,$B$110:$T$114,MATCH(P$10,$B$110:$T$110,0),0),'Input data'!$C$59)</f>
        <v>8.7639960000000003E-2</v>
      </c>
      <c r="Q38" s="1">
        <f>IF(OR($C$3="EL",$C$3="CY",$C$3="IE",$C$3="PT"),VLOOKUP($C$3,$B$110:$T$114,MATCH(Q$10,$B$110:$T$110,0),0),'Input data'!$C$59)</f>
        <v>8.7639960000000003E-2</v>
      </c>
      <c r="R38" s="1">
        <f>IF(OR($C$3="EL",$C$3="CY",$C$3="IE",$C$3="PT"),VLOOKUP($C$3,$B$110:$T$114,MATCH(R$10,$B$110:$T$110,0),0),'Input data'!$C$59)</f>
        <v>8.7639960000000003E-2</v>
      </c>
      <c r="S38" s="1">
        <f>IF(OR($C$3="EL",$C$3="CY",$C$3="IE",$C$3="PT"),VLOOKUP($C$3,$B$110:$T$114,MATCH(S$10,$B$110:$T$110,0),0),'Input data'!$C$59)</f>
        <v>8.7639960000000003E-2</v>
      </c>
      <c r="T38" s="1">
        <f>IF(OR($C$3="EL",$C$3="CY",$C$3="IE",$C$3="PT"),VLOOKUP($C$3,$B$110:$T$114,MATCH(T$10,$B$110:$T$110,0),0),'Input data'!$C$59)</f>
        <v>8.7639960000000003E-2</v>
      </c>
      <c r="U38" s="1">
        <f>IF(OR($C$3="EL",$C$3="CY",$C$3="IE",$C$3="PT"),VLOOKUP($C$3,$B$110:$W$114,MATCH(U$10,$B$110:$W$110,0),0),'Input data'!$C$59)</f>
        <v>8.7639960000000003E-2</v>
      </c>
      <c r="V38" s="1">
        <f>IF(OR($C$3="EL",$C$3="CY",$C$3="IE",$C$3="PT"),VLOOKUP($C$3,$B$110:$W$114,MATCH(V$10,$B$110:$W$110,0),0),'Input data'!$C$59)</f>
        <v>8.7639960000000003E-2</v>
      </c>
      <c r="W38" s="1">
        <f>IF(OR($C$3="EL",$C$3="CY",$C$3="IE",$C$3="PT"),VLOOKUP($C$3,$B$110:$W$114,MATCH(W$10,$B$110:$W$110,0),0),'Input data'!$C$59)</f>
        <v>8.7639960000000003E-2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2.656326</v>
      </c>
      <c r="D41" s="1">
        <f>'Input data'!D42</f>
        <v>4.1423170000000002</v>
      </c>
      <c r="E41" s="2">
        <f>'Input data'!E42</f>
        <v>5.9277860000000002</v>
      </c>
      <c r="F41" s="2">
        <f>'Input data'!F42</f>
        <v>3.2528440000000001</v>
      </c>
      <c r="G41" s="2">
        <f>'Input data'!G42</f>
        <v>2.3423060000000002</v>
      </c>
      <c r="H41" s="1">
        <f>$G$41+($O$41-$G$41)/($O$10-$G$10)*(H10-$G$10)</f>
        <v>2.3682677500000002</v>
      </c>
      <c r="I41" s="1">
        <f>$G$41+($O$41-$G$41)/($O$10-$G$10)*(I10-$G$10)</f>
        <v>2.3942295000000002</v>
      </c>
      <c r="J41" s="1">
        <f t="shared" ref="J41:M41" si="12">$G$41+($O$41-$G$41)/($O$10-$G$10)*(J10-$G$10)</f>
        <v>2.4201912500000002</v>
      </c>
      <c r="K41" s="1">
        <f t="shared" si="12"/>
        <v>2.4461529999999998</v>
      </c>
      <c r="L41" s="1">
        <f t="shared" si="12"/>
        <v>2.4721147499999998</v>
      </c>
      <c r="M41" s="1">
        <f t="shared" si="12"/>
        <v>2.4980764999999998</v>
      </c>
      <c r="N41" s="1">
        <f>$G$41+($O$41-$G$41)/($O$10-$G$10)*(N10-$G$10)</f>
        <v>2.5240382499999998</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0.99997000000000003</v>
      </c>
      <c r="D42" s="1">
        <v>0.99999990000000005</v>
      </c>
      <c r="E42" s="1">
        <v>1</v>
      </c>
      <c r="F42" s="1">
        <v>1</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0.59699999999999998</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5.7706480000000004</v>
      </c>
      <c r="E51" s="34">
        <f>'Input data'!E30-$C$46*((E12-D12)-('Input data'!E13-'Input data'!D13))</f>
        <v>2.5032939999999999</v>
      </c>
      <c r="F51" s="34">
        <f>'Input data'!F30-$C$46*((F12-E12)-('Input data'!F13-'Input data'!E13))</f>
        <v>2.144717</v>
      </c>
      <c r="G51" s="34">
        <f>'Input data'!G30-$C$46*((G12-F12)-('Input data'!G13-'Input data'!F13))</f>
        <v>2.663837725</v>
      </c>
      <c r="H51" s="34">
        <f>'Input data'!H30-$C$46*((H12-G12))</f>
        <v>1.276035</v>
      </c>
      <c r="I51" s="34">
        <f>'Input data'!I30-$C$46*((I12-H12))</f>
        <v>0.98757760000000006</v>
      </c>
      <c r="J51" s="34">
        <f>'Input data'!J30-$C$46*((J12-I12))</f>
        <v>1.177711</v>
      </c>
      <c r="K51" s="34">
        <f>'Input data'!K30-$C$46*((K12-J12))</f>
        <v>1.3416950000000001</v>
      </c>
      <c r="L51" s="34">
        <f>'Input data'!L30-$C$46*((L12-K12))</f>
        <v>1.26952</v>
      </c>
      <c r="M51" s="34">
        <f>'Input data'!M30-$C$46*((M12-L12))</f>
        <v>1.185136</v>
      </c>
      <c r="N51" s="34">
        <f>'Input data'!N30-$C$46*((N12-M12))</f>
        <v>1.0950310000000001</v>
      </c>
      <c r="O51" s="34">
        <f>'Input data'!O30-$C$46*((O12-N12))</f>
        <v>1.0365249999999999</v>
      </c>
      <c r="P51" s="34">
        <f>'Input data'!P30-$C$46*((P12-O12))</f>
        <v>1.083115</v>
      </c>
      <c r="Q51" s="34">
        <f>'Input data'!Q30-$C$46*((Q12-P12))</f>
        <v>1.1297079999999999</v>
      </c>
      <c r="R51" s="34">
        <f>'Input data'!R30-$C$46*((R12-Q12))</f>
        <v>1.176302</v>
      </c>
      <c r="S51" s="34">
        <f>'Input data'!S30-$C$46*((S12-R12))</f>
        <v>1.347296</v>
      </c>
      <c r="T51" s="34">
        <f>'Input data'!T30-$C$46*((T12-S12))</f>
        <v>1.4308339999999999</v>
      </c>
      <c r="U51" s="34">
        <f>'Input data'!U30-$C$46*((U12-T12))</f>
        <v>1.527658</v>
      </c>
      <c r="V51" s="34">
        <f>'Input data'!V30-$C$46*((V12-U12))</f>
        <v>1.64174</v>
      </c>
      <c r="W51" s="34">
        <f>'Input data'!W30-$C$46*((W12-V12))</f>
        <v>1.5633220000000001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116.8408</v>
      </c>
      <c r="D56" s="45">
        <f>+C56+D57</f>
        <v>111.62002928145338</v>
      </c>
      <c r="E56" s="45">
        <f t="shared" ref="E56:T56" si="14">+D56+E57</f>
        <v>107.65412775375809</v>
      </c>
      <c r="F56" s="45">
        <f>+E56+F57</f>
        <v>105.5099779146238</v>
      </c>
      <c r="G56" s="45">
        <f>+F56+G57</f>
        <v>104.84801239723276</v>
      </c>
      <c r="H56" s="45">
        <f t="shared" si="14"/>
        <v>104.38350015230243</v>
      </c>
      <c r="I56" s="45">
        <f t="shared" si="14"/>
        <v>104.6661474654738</v>
      </c>
      <c r="J56" s="45">
        <f t="shared" si="14"/>
        <v>105.0526157141781</v>
      </c>
      <c r="K56" s="45">
        <f t="shared" si="14"/>
        <v>105.48268213920724</v>
      </c>
      <c r="L56" s="45">
        <f t="shared" si="14"/>
        <v>106.23984981003267</v>
      </c>
      <c r="M56" s="45">
        <f t="shared" si="14"/>
        <v>107.38281295973444</v>
      </c>
      <c r="N56" s="45">
        <f t="shared" si="14"/>
        <v>108.94864461631695</v>
      </c>
      <c r="O56" s="45">
        <f t="shared" si="14"/>
        <v>110.91109454617161</v>
      </c>
      <c r="P56" s="45">
        <f t="shared" si="14"/>
        <v>113.1915296618243</v>
      </c>
      <c r="Q56" s="45">
        <f t="shared" si="14"/>
        <v>115.76213103111911</v>
      </c>
      <c r="R56" s="45">
        <f>+Q56+R57</f>
        <v>118.59423561922689</v>
      </c>
      <c r="S56" s="45">
        <f t="shared" si="14"/>
        <v>121.51796696446314</v>
      </c>
      <c r="T56" s="45">
        <f t="shared" si="14"/>
        <v>124.61752211977527</v>
      </c>
      <c r="U56" s="45">
        <f t="shared" ref="U56" si="15">+T56+U57</f>
        <v>127.86213778870857</v>
      </c>
      <c r="V56" s="45">
        <f t="shared" ref="V56" si="16">+U56+V57</f>
        <v>131.1977912642939</v>
      </c>
      <c r="W56" s="45">
        <f t="shared" ref="W56" si="17">+V56+W57</f>
        <v>134.89328259069362</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-5.2207707185466106</v>
      </c>
      <c r="E57" s="47">
        <f t="shared" ref="E57:T57" si="18">-E58+E66+E71</f>
        <v>-3.9659015276953009</v>
      </c>
      <c r="F57" s="47">
        <f>-F58+F66+F71</f>
        <v>-2.1441498391342861</v>
      </c>
      <c r="G57" s="47">
        <f>-G58+G66+G71</f>
        <v>-0.66196551739104581</v>
      </c>
      <c r="H57" s="47">
        <f t="shared" si="18"/>
        <v>-0.46451224493033549</v>
      </c>
      <c r="I57" s="47">
        <f t="shared" si="18"/>
        <v>0.28264731317136871</v>
      </c>
      <c r="J57" s="47">
        <f t="shared" si="18"/>
        <v>0.38646824870430829</v>
      </c>
      <c r="K57" s="47">
        <f t="shared" si="18"/>
        <v>0.43006642502914105</v>
      </c>
      <c r="L57" s="47">
        <f t="shared" si="18"/>
        <v>0.75716767082542824</v>
      </c>
      <c r="M57" s="47">
        <f t="shared" si="18"/>
        <v>1.1429631497017667</v>
      </c>
      <c r="N57" s="47">
        <f t="shared" si="18"/>
        <v>1.5658316565825126</v>
      </c>
      <c r="O57" s="47">
        <f t="shared" si="18"/>
        <v>1.9624499298546572</v>
      </c>
      <c r="P57" s="47">
        <f t="shared" si="18"/>
        <v>2.2804351156526903</v>
      </c>
      <c r="Q57" s="47">
        <f t="shared" si="18"/>
        <v>2.5706013692948098</v>
      </c>
      <c r="R57" s="47">
        <f>-R58+R66+R71</f>
        <v>2.8321045881077866</v>
      </c>
      <c r="S57" s="47">
        <f t="shared" si="18"/>
        <v>2.9237313452362459</v>
      </c>
      <c r="T57" s="47">
        <f t="shared" si="18"/>
        <v>3.0995551553121312</v>
      </c>
      <c r="U57" s="47">
        <f t="shared" ref="U57:W57" si="19">-U58+U66+U71</f>
        <v>3.244615668933295</v>
      </c>
      <c r="V57" s="47">
        <f t="shared" si="19"/>
        <v>3.3356534755853238</v>
      </c>
      <c r="W57" s="47">
        <f t="shared" si="19"/>
        <v>3.6954913263997065</v>
      </c>
    </row>
    <row r="58" spans="2:48" outlineLevel="1" x14ac:dyDescent="0.2">
      <c r="B58" s="84" t="s">
        <v>106</v>
      </c>
      <c r="C58" s="48"/>
      <c r="D58" s="48">
        <f>D59+D60-D61-D62-D63-D64-D65</f>
        <v>-2.3733228814533889</v>
      </c>
      <c r="E58" s="48">
        <f>E59+E60-E61-E62-E63-E64-E65</f>
        <v>-1.1758664723046994</v>
      </c>
      <c r="F58" s="48">
        <f>F59+F60-F61-F62-F63-F64-F65</f>
        <v>-0.448572060865714</v>
      </c>
      <c r="G58" s="48">
        <f t="shared" ref="G58:T58" si="20">G59+G60-G61-G62-G63-G64-G65</f>
        <v>-0.30627548260895421</v>
      </c>
      <c r="H58" s="48">
        <f t="shared" si="20"/>
        <v>-0.5779780013535768</v>
      </c>
      <c r="I58" s="48">
        <f t="shared" si="20"/>
        <v>-0.94379035324984351</v>
      </c>
      <c r="J58" s="48">
        <f t="shared" si="20"/>
        <v>-1.1592430701884218</v>
      </c>
      <c r="K58" s="48">
        <f t="shared" si="20"/>
        <v>-1.2863533138043741</v>
      </c>
      <c r="L58" s="48">
        <f t="shared" si="20"/>
        <v>-1.4526153242885074</v>
      </c>
      <c r="M58" s="48">
        <f t="shared" si="20"/>
        <v>-1.6635185142960032</v>
      </c>
      <c r="N58" s="48">
        <f t="shared" si="20"/>
        <v>-1.9023518048293679</v>
      </c>
      <c r="O58" s="48">
        <f t="shared" si="20"/>
        <v>-2.1438032230787338</v>
      </c>
      <c r="P58" s="48">
        <f t="shared" si="20"/>
        <v>-2.3778864136816948</v>
      </c>
      <c r="Q58" s="48">
        <f t="shared" si="20"/>
        <v>-2.596979013681687</v>
      </c>
      <c r="R58" s="48">
        <f t="shared" si="20"/>
        <v>-2.7991411236226744</v>
      </c>
      <c r="S58" s="48">
        <f t="shared" si="20"/>
        <v>-2.9878831345591954</v>
      </c>
      <c r="T58" s="48">
        <f t="shared" si="20"/>
        <v>-3.1730469117158098</v>
      </c>
      <c r="U58" s="48">
        <f t="shared" ref="U58:W58" si="21">U59+U60-U61-U62-U63-U64-U65</f>
        <v>-3.3554277476647796</v>
      </c>
      <c r="V58" s="48">
        <f t="shared" si="21"/>
        <v>-3.5174098603077608</v>
      </c>
      <c r="W58" s="48">
        <f t="shared" si="21"/>
        <v>-3.7125448115497934</v>
      </c>
    </row>
    <row r="59" spans="2:48" outlineLevel="1" x14ac:dyDescent="0.2">
      <c r="B59" s="79" t="s">
        <v>107</v>
      </c>
      <c r="C59" s="1"/>
      <c r="D59" s="1">
        <f>D12</f>
        <v>-2.3947409999999998</v>
      </c>
      <c r="E59" s="1">
        <f>E12</f>
        <v>-1.6308560000000001</v>
      </c>
      <c r="F59" s="1">
        <f>F12</f>
        <v>-0.84895830000000005</v>
      </c>
      <c r="G59" s="1">
        <f t="shared" ref="G59:W59" si="22">IF(G12="",F59,G12)</f>
        <v>-0.84895830000000005</v>
      </c>
      <c r="H59" s="1">
        <f>IF(H12="",G59,H12)</f>
        <v>-0.84895830000000005</v>
      </c>
      <c r="I59" s="1">
        <f t="shared" si="22"/>
        <v>-0.84895830000000005</v>
      </c>
      <c r="J59" s="1">
        <f t="shared" si="22"/>
        <v>-0.84895830000000005</v>
      </c>
      <c r="K59" s="1">
        <f t="shared" si="22"/>
        <v>-0.84895830000000005</v>
      </c>
      <c r="L59" s="1">
        <f t="shared" si="22"/>
        <v>-0.84895830000000005</v>
      </c>
      <c r="M59" s="1">
        <f t="shared" si="22"/>
        <v>-0.84895830000000005</v>
      </c>
      <c r="N59" s="1">
        <f t="shared" si="22"/>
        <v>-0.84895830000000005</v>
      </c>
      <c r="O59" s="1">
        <f t="shared" si="22"/>
        <v>-0.84895830000000005</v>
      </c>
      <c r="P59" s="1">
        <f t="shared" si="22"/>
        <v>-0.84895830000000005</v>
      </c>
      <c r="Q59" s="1">
        <f t="shared" si="22"/>
        <v>-0.84895830000000005</v>
      </c>
      <c r="R59" s="1">
        <f t="shared" si="22"/>
        <v>-0.84895830000000005</v>
      </c>
      <c r="S59" s="1">
        <f t="shared" si="22"/>
        <v>-0.84895830000000005</v>
      </c>
      <c r="T59" s="1">
        <f t="shared" si="22"/>
        <v>-0.84895830000000005</v>
      </c>
      <c r="U59" s="1">
        <f t="shared" si="22"/>
        <v>-0.84895830000000005</v>
      </c>
      <c r="V59" s="1">
        <f t="shared" si="22"/>
        <v>-0.84895830000000005</v>
      </c>
      <c r="W59" s="1">
        <f t="shared" si="22"/>
        <v>-0.84895830000000005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-8.8264218546610901E-2</v>
      </c>
      <c r="E61" s="1">
        <f t="shared" si="23"/>
        <v>-0.45498952769530077</v>
      </c>
      <c r="F61" s="1">
        <f t="shared" si="23"/>
        <v>-0.58847623913428604</v>
      </c>
      <c r="G61" s="1">
        <f t="shared" si="23"/>
        <v>-0.59189541739104168</v>
      </c>
      <c r="H61" s="1">
        <f>-$C$47*H29</f>
        <v>-0.39459549864642757</v>
      </c>
      <c r="I61" s="1">
        <f t="shared" si="23"/>
        <v>-0.13152574675015519</v>
      </c>
      <c r="J61" s="1">
        <f>-$C$47*J29</f>
        <v>1.427018842635741E-5</v>
      </c>
      <c r="K61" s="1">
        <f t="shared" si="23"/>
        <v>1.1913804376273428E-5</v>
      </c>
      <c r="L61" s="1">
        <f t="shared" si="23"/>
        <v>1.1324288507785774E-5</v>
      </c>
      <c r="M61" s="1">
        <f t="shared" si="23"/>
        <v>1.1914296003878721E-5</v>
      </c>
      <c r="N61" s="1">
        <f t="shared" si="23"/>
        <v>1.2504829367987469E-5</v>
      </c>
      <c r="O61" s="1">
        <f t="shared" si="23"/>
        <v>1.1323078732972114E-5</v>
      </c>
      <c r="P61" s="1">
        <f t="shared" si="23"/>
        <v>1.1913681698039192E-5</v>
      </c>
      <c r="Q61" s="1">
        <f t="shared" si="23"/>
        <v>1.1913681691411159E-5</v>
      </c>
      <c r="R61" s="1">
        <f t="shared" si="23"/>
        <v>1.1323622675629696E-5</v>
      </c>
      <c r="S61" s="1">
        <f t="shared" si="23"/>
        <v>1.0734559196801107E-5</v>
      </c>
      <c r="T61" s="1">
        <f t="shared" si="23"/>
        <v>1.1911715810652978E-5</v>
      </c>
      <c r="U61" s="1">
        <f t="shared" si="23"/>
        <v>1.0147664781035014E-5</v>
      </c>
      <c r="V61" s="1">
        <f t="shared" si="23"/>
        <v>9.5603077618133806E-6</v>
      </c>
      <c r="W61" s="1">
        <f t="shared" si="23"/>
        <v>1.1911549798349075E-5</v>
      </c>
    </row>
    <row r="62" spans="2:48" outlineLevel="1" x14ac:dyDescent="0.2">
      <c r="B62" s="79" t="s">
        <v>110</v>
      </c>
      <c r="C62" s="1"/>
      <c r="D62" s="1">
        <f t="shared" ref="D62:W62" si="24">-D13</f>
        <v>6.6846100000000006E-2</v>
      </c>
      <c r="E62" s="1">
        <f t="shared" si="24"/>
        <v>0</v>
      </c>
      <c r="F62" s="1">
        <f t="shared" si="24"/>
        <v>0.18809000000000001</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5.0129999999995789E-2</v>
      </c>
      <c r="H63" s="1">
        <f>IF(H$55&lt;=$C$5,0,HLOOKUP(H$55,'Input data'!$C$9:$BB$26,12,FALSE)-HLOOKUP($C$5,'Input data'!$C$9:$BB$26,12,FALSE))</f>
        <v>0.12545000000000428</v>
      </c>
      <c r="I63" s="1">
        <f>IF(I$55&lt;=$C$5,0,HLOOKUP(I$55,'Input data'!$C$9:$BB$26,12,FALSE)-HLOOKUP($C$5,'Input data'!$C$9:$BB$26,12,FALSE))</f>
        <v>0.22910999999999859</v>
      </c>
      <c r="J63" s="1">
        <f>IF(J$55&lt;=$C$5,0,HLOOKUP(J$55,'Input data'!$C$9:$BB$26,12,FALSE)-HLOOKUP($C$5,'Input data'!$C$9:$BB$26,12,FALSE))</f>
        <v>0.31393999999999522</v>
      </c>
      <c r="K63" s="1">
        <f>IF(K$55&lt;=$C$5,0,HLOOKUP(K$55,'Input data'!$C$9:$BB$26,12,FALSE)-HLOOKUP($C$5,'Input data'!$C$9:$BB$26,12,FALSE))</f>
        <v>0.44196999999999775</v>
      </c>
      <c r="L63" s="1">
        <f>IF(L$55&lt;=$C$5,0,HLOOKUP(L$55,'Input data'!$C$9:$BB$26,12,FALSE)-HLOOKUP($C$5,'Input data'!$C$9:$BB$26,12,FALSE))</f>
        <v>0.60914999999999964</v>
      </c>
      <c r="M63" s="1">
        <f>IF(M$55&lt;=$C$5,0,HLOOKUP(M$55,'Input data'!$C$9:$BB$26,12,FALSE)-HLOOKUP($C$5,'Input data'!$C$9:$BB$26,12,FALSE))</f>
        <v>0.82096999999999909</v>
      </c>
      <c r="N63" s="1">
        <f>IF(N$55&lt;=$C$5,0,HLOOKUP(N$55,'Input data'!$C$9:$BB$26,12,FALSE)-HLOOKUP($C$5,'Input data'!$C$9:$BB$26,12,FALSE))</f>
        <v>1.0607199999999999</v>
      </c>
      <c r="O63" s="1">
        <f>IF(O$55&lt;=$C$5,0,HLOOKUP(O$55,'Input data'!$C$9:$BB$26,12,FALSE)-HLOOKUP($C$5,'Input data'!$C$9:$BB$26,12,FALSE))</f>
        <v>1.303090000000001</v>
      </c>
      <c r="P63" s="1">
        <f>IF(P$55&lt;=$C$5,0,HLOOKUP(P$55,'Input data'!$C$9:$BB$26,12,FALSE)-HLOOKUP($C$5,'Input data'!$C$9:$BB$26,12,FALSE))</f>
        <v>1.5380899999999968</v>
      </c>
      <c r="Q63" s="1">
        <f>IF(Q$55&lt;=$C$5,0,HLOOKUP(Q$55,'Input data'!$C$9:$BB$26,12,FALSE)-HLOOKUP($C$5,'Input data'!$C$9:$BB$26,12,FALSE))</f>
        <v>1.7580999999999953</v>
      </c>
      <c r="R63" s="1">
        <f>IF(R$55&lt;=$C$5,0,HLOOKUP(R$55,'Input data'!$C$9:$BB$26,12,FALSE)-HLOOKUP($C$5,'Input data'!$C$9:$BB$26,12,FALSE))</f>
        <v>1.9611799999999988</v>
      </c>
      <c r="S63" s="1">
        <f>IF(S$55&lt;=$C$5,0,HLOOKUP(S$55,'Input data'!$C$9:$BB$26,12,FALSE)-HLOOKUP($C$5,'Input data'!$C$9:$BB$26,12,FALSE))</f>
        <v>2.1508399999999988</v>
      </c>
      <c r="T63" s="1">
        <f>IF(T$55&lt;=$C$5,0,HLOOKUP(T$55,'Input data'!$C$9:$BB$26,12,FALSE)-HLOOKUP($C$5,'Input data'!$C$9:$BB$26,12,FALSE))</f>
        <v>2.3369199999999992</v>
      </c>
      <c r="U63" s="1">
        <f>IF(U$55&lt;=$C$5,0,HLOOKUP(U$55,'Input data'!$C$9:$BB$26,12,FALSE)-HLOOKUP($C$5,'Input data'!$C$9:$BB$26,12,FALSE))</f>
        <v>2.5202199999999984</v>
      </c>
      <c r="V63" s="1">
        <f>IF(V$55&lt;=$C$5,0,HLOOKUP(V$55,'Input data'!$C$9:$BB$26,12,FALSE)-HLOOKUP($C$5,'Input data'!$C$9:$BB$26,12,FALSE))</f>
        <v>2.6831199999999988</v>
      </c>
      <c r="W63" s="1">
        <f>IF(W$55&lt;=$C$5,0,HLOOKUP(W$55,'Input data'!$C$9:$BB$26,12,FALSE)-HLOOKUP($C$5,'Input data'!$C$9:$BB$26,12,FALSE))</f>
        <v>2.8791699999999949</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-9.1739999999995714E-4</v>
      </c>
      <c r="H64" s="1">
        <f>IF(H$55&lt;=$C$5,0,-HLOOKUP(H$55,'Input data'!$C$9:$BB$26,18,FALSE)+HLOOKUP($C$5,'Input data'!$C$9:$BB$26,18,FALSE))</f>
        <v>-1.8348000000000253E-3</v>
      </c>
      <c r="I64" s="1">
        <f>IF(I$55&lt;=$C$5,0,-HLOOKUP(I$55,'Input data'!$C$9:$BB$26,18,FALSE)+HLOOKUP($C$5,'Input data'!$C$9:$BB$26,18,FALSE))</f>
        <v>-2.7521999999999824E-3</v>
      </c>
      <c r="J64" s="1">
        <f>IF(J$55&lt;=$C$5,0,-HLOOKUP(J$55,'Input data'!$C$9:$BB$26,18,FALSE)+HLOOKUP($C$5,'Input data'!$C$9:$BB$26,18,FALSE))</f>
        <v>-3.6694999999999922E-3</v>
      </c>
      <c r="K64" s="1">
        <f>IF(K$55&lt;=$C$5,0,-HLOOKUP(K$55,'Input data'!$C$9:$BB$26,18,FALSE)+HLOOKUP($C$5,'Input data'!$C$9:$BB$26,18,FALSE))</f>
        <v>-4.5868999999999494E-3</v>
      </c>
      <c r="L64" s="1">
        <f>IF(L$55&lt;=$C$5,0,-HLOOKUP(L$55,'Input data'!$C$9:$BB$26,18,FALSE)+HLOOKUP($C$5,'Input data'!$C$9:$BB$26,18,FALSE))</f>
        <v>-5.5043000000000175E-3</v>
      </c>
      <c r="M64" s="1">
        <f>IF(M$55&lt;=$C$5,0,-HLOOKUP(M$55,'Input data'!$C$9:$BB$26,18,FALSE)+HLOOKUP($C$5,'Input data'!$C$9:$BB$26,18,FALSE))</f>
        <v>-6.4216999999999747E-3</v>
      </c>
      <c r="N64" s="1">
        <f>IF(N$55&lt;=$C$5,0,-HLOOKUP(N$55,'Input data'!$C$9:$BB$26,18,FALSE)+HLOOKUP($C$5,'Input data'!$C$9:$BB$26,18,FALSE))</f>
        <v>-7.3389999999999844E-3</v>
      </c>
      <c r="O64" s="1">
        <f>IF(O$55&lt;=$C$5,0,-HLOOKUP(O$55,'Input data'!$C$9:$BB$26,18,FALSE)+HLOOKUP($C$5,'Input data'!$C$9:$BB$26,18,FALSE))</f>
        <v>-8.2563999999999416E-3</v>
      </c>
      <c r="P64" s="1">
        <f>IF(P$55&lt;=$C$5,0,-HLOOKUP(P$55,'Input data'!$C$9:$BB$26,18,FALSE)+HLOOKUP($C$5,'Input data'!$C$9:$BB$26,18,FALSE))</f>
        <v>-9.1738000000000097E-3</v>
      </c>
      <c r="Q64" s="1">
        <f>IF(Q$55&lt;=$C$5,0,-HLOOKUP(Q$55,'Input data'!$C$9:$BB$26,18,FALSE)+HLOOKUP($C$5,'Input data'!$C$9:$BB$26,18,FALSE))</f>
        <v>-1.0091199999999967E-2</v>
      </c>
      <c r="R64" s="1">
        <f>IF(R$55&lt;=$C$5,0,-HLOOKUP(R$55,'Input data'!$C$9:$BB$26,18,FALSE)+HLOOKUP($C$5,'Input data'!$C$9:$BB$26,18,FALSE))</f>
        <v>-1.1008499999999977E-2</v>
      </c>
      <c r="S64" s="1">
        <f>IF(S$55&lt;=$C$5,0,-HLOOKUP(S$55,'Input data'!$C$9:$BB$26,18,FALSE)+HLOOKUP($C$5,'Input data'!$C$9:$BB$26,18,FALSE))</f>
        <v>-1.1925899999999934E-2</v>
      </c>
      <c r="T64" s="1">
        <f>IF(T$55&lt;=$C$5,0,-HLOOKUP(T$55,'Input data'!$C$9:$BB$26,18,FALSE)+HLOOKUP($C$5,'Input data'!$C$9:$BB$26,18,FALSE))</f>
        <v>-1.2843300000000002E-2</v>
      </c>
      <c r="U64" s="1">
        <f>IF(U$55&lt;=$C$5,0,-HLOOKUP(U$55,'Input data'!$C$9:$BB$26,18,FALSE)+HLOOKUP($C$5,'Input data'!$C$9:$BB$26,18,FALSE))</f>
        <v>-1.3760699999999959E-2</v>
      </c>
      <c r="V64" s="1">
        <f>IF(V$55&lt;=$C$5,0,-HLOOKUP(V$55,'Input data'!$C$9:$BB$26,18,FALSE)+HLOOKUP($C$5,'Input data'!$C$9:$BB$26,18,FALSE))</f>
        <v>-1.4677999999999969E-2</v>
      </c>
      <c r="W64" s="1">
        <f>IF(W$55&lt;=$C$5,0,-HLOOKUP(W$55,'Input data'!$C$9:$BB$26,18,FALSE)+HLOOKUP($C$5,'Input data'!$C$9:$BB$26,18,FALSE))</f>
        <v>-1.5595399999999926E-2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-8.4059019999999993</v>
      </c>
      <c r="E66" s="48">
        <f t="shared" ref="E66:T66" si="25">SUM(E67:E70)</f>
        <v>-6.3592510000000004</v>
      </c>
      <c r="F66" s="48">
        <f t="shared" si="25"/>
        <v>-3.047193</v>
      </c>
      <c r="G66" s="48">
        <f>SUM(G67:G70)</f>
        <v>-1.908242</v>
      </c>
      <c r="H66" s="48">
        <f t="shared" si="25"/>
        <v>-1.0424902462839123</v>
      </c>
      <c r="I66" s="48">
        <f t="shared" si="25"/>
        <v>-0.6611430400784748</v>
      </c>
      <c r="J66" s="48">
        <f t="shared" si="25"/>
        <v>-0.77277482148411347</v>
      </c>
      <c r="K66" s="48">
        <f t="shared" si="25"/>
        <v>-0.85628688877523307</v>
      </c>
      <c r="L66" s="48">
        <f t="shared" si="25"/>
        <v>-0.69544765346307913</v>
      </c>
      <c r="M66" s="48">
        <f t="shared" si="25"/>
        <v>-0.52055536459423646</v>
      </c>
      <c r="N66" s="48">
        <f t="shared" si="25"/>
        <v>-0.33652014824685539</v>
      </c>
      <c r="O66" s="48">
        <f t="shared" si="25"/>
        <v>-0.18135329322407667</v>
      </c>
      <c r="P66" s="48">
        <f t="shared" si="25"/>
        <v>-9.7451298029004541E-2</v>
      </c>
      <c r="Q66" s="48">
        <f t="shared" si="25"/>
        <v>-2.6377644386877286E-2</v>
      </c>
      <c r="R66" s="48">
        <f t="shared" si="25"/>
        <v>3.2963464485112226E-2</v>
      </c>
      <c r="S66" s="48">
        <f t="shared" si="25"/>
        <v>-6.4151789322949515E-2</v>
      </c>
      <c r="T66" s="48">
        <f t="shared" si="25"/>
        <v>-7.3491756403678554E-2</v>
      </c>
      <c r="U66" s="48">
        <f t="shared" ref="U66:W66" si="26">SUM(U67:U70)</f>
        <v>-0.11081207873148458</v>
      </c>
      <c r="V66" s="48">
        <f t="shared" si="26"/>
        <v>-0.18175638472243705</v>
      </c>
      <c r="W66" s="48">
        <f t="shared" si="26"/>
        <v>-1.7053485150086978E-2</v>
      </c>
    </row>
    <row r="67" spans="2:23" outlineLevel="1" x14ac:dyDescent="0.2">
      <c r="B67" s="79" t="s">
        <v>115</v>
      </c>
      <c r="C67" s="34"/>
      <c r="D67" s="34">
        <f t="shared" ref="D67:W67" si="27">C56*D35/100*(1/(1+D32/100))</f>
        <v>2.3625639231606503</v>
      </c>
      <c r="E67" s="34">
        <f t="shared" si="27"/>
        <v>2.4603547187935546</v>
      </c>
      <c r="F67" s="34">
        <f t="shared" si="27"/>
        <v>2.5334362592575936</v>
      </c>
      <c r="G67" s="34">
        <f>F56*G35/100*(1/(1+G32/100))</f>
        <v>2.5548641067415803</v>
      </c>
      <c r="H67" s="34">
        <f>G56*H35/100*(1/(1+H32/100))</f>
        <v>2.6736242732770354</v>
      </c>
      <c r="I67" s="34">
        <f t="shared" si="27"/>
        <v>2.7765189969265651</v>
      </c>
      <c r="J67" s="34">
        <f t="shared" si="27"/>
        <v>2.8900160614544217</v>
      </c>
      <c r="K67" s="34">
        <f t="shared" si="27"/>
        <v>3.0097175018048485</v>
      </c>
      <c r="L67" s="34">
        <f t="shared" si="27"/>
        <v>3.1397316774301802</v>
      </c>
      <c r="M67" s="34">
        <f t="shared" si="27"/>
        <v>3.2827280187197916</v>
      </c>
      <c r="N67" s="34">
        <f t="shared" si="27"/>
        <v>3.441639300073617</v>
      </c>
      <c r="O67" s="34">
        <f t="shared" si="27"/>
        <v>3.6176571317258031</v>
      </c>
      <c r="P67" s="34">
        <f t="shared" si="27"/>
        <v>3.790627003719294</v>
      </c>
      <c r="Q67" s="34">
        <f t="shared" si="27"/>
        <v>3.9626733799612963</v>
      </c>
      <c r="R67" s="34">
        <f t="shared" si="27"/>
        <v>4.1340796475179094</v>
      </c>
      <c r="S67" s="34">
        <f t="shared" si="27"/>
        <v>4.2996451842734613</v>
      </c>
      <c r="T67" s="34">
        <f t="shared" si="27"/>
        <v>4.4628823017767658</v>
      </c>
      <c r="U67" s="34">
        <f t="shared" si="27"/>
        <v>4.6234874453461847</v>
      </c>
      <c r="V67" s="34">
        <f t="shared" si="27"/>
        <v>4.7808575884115214</v>
      </c>
      <c r="W67" s="34">
        <f t="shared" si="27"/>
        <v>4.9437415935726561</v>
      </c>
    </row>
    <row r="68" spans="2:23" outlineLevel="1" x14ac:dyDescent="0.2">
      <c r="B68" s="79" t="s">
        <v>116</v>
      </c>
      <c r="C68" s="34"/>
      <c r="D68" s="34">
        <f t="shared" ref="D68:W68" si="28">-C56*(D23/100)*(1/(1+D32/100))</f>
        <v>-6.1210609631417761</v>
      </c>
      <c r="E68" s="34">
        <f t="shared" si="28"/>
        <v>-2.5733939372555574</v>
      </c>
      <c r="F68" s="34">
        <f t="shared" si="28"/>
        <v>-2.1891864353317834</v>
      </c>
      <c r="G68" s="34">
        <f t="shared" si="28"/>
        <v>-2.0483395691157105</v>
      </c>
      <c r="H68" s="34">
        <f t="shared" si="28"/>
        <v>-1.2904784130833469</v>
      </c>
      <c r="I68" s="34">
        <f t="shared" si="28"/>
        <v>-0.99691848535892857</v>
      </c>
      <c r="J68" s="34">
        <f t="shared" si="28"/>
        <v>-1.1895276408417346</v>
      </c>
      <c r="K68" s="34">
        <f t="shared" si="28"/>
        <v>-1.3576157047981579</v>
      </c>
      <c r="L68" s="34">
        <f t="shared" si="28"/>
        <v>-1.2904353776521094</v>
      </c>
      <c r="M68" s="34">
        <f t="shared" si="28"/>
        <v>-1.2140126258869652</v>
      </c>
      <c r="N68" s="34">
        <f t="shared" si="28"/>
        <v>-1.1345030733925621</v>
      </c>
      <c r="O68" s="34">
        <f t="shared" si="28"/>
        <v>-1.0899022458020666</v>
      </c>
      <c r="P68" s="34">
        <f t="shared" si="28"/>
        <v>-1.1591823423957868</v>
      </c>
      <c r="Q68" s="34">
        <f t="shared" si="28"/>
        <v>-1.2336691373658668</v>
      </c>
      <c r="R68" s="34">
        <f t="shared" si="28"/>
        <v>-1.3134707508783439</v>
      </c>
      <c r="S68" s="34">
        <f t="shared" si="28"/>
        <v>-1.539022130655044</v>
      </c>
      <c r="T68" s="34">
        <f t="shared" si="28"/>
        <v>-1.6738124050446719</v>
      </c>
      <c r="U68" s="34">
        <f t="shared" si="28"/>
        <v>-1.8314056406409935</v>
      </c>
      <c r="V68" s="34">
        <f t="shared" si="28"/>
        <v>-2.0176906422898049</v>
      </c>
      <c r="W68" s="34">
        <f t="shared" si="28"/>
        <v>-1.9734907335081948</v>
      </c>
    </row>
    <row r="69" spans="2:23" outlineLevel="1" x14ac:dyDescent="0.2">
      <c r="B69" s="79" t="s">
        <v>117</v>
      </c>
      <c r="C69" s="34"/>
      <c r="D69" s="34">
        <f>-C56*D41/100*(1/(1+D41/100))</f>
        <v>-4.6474060312447243</v>
      </c>
      <c r="E69" s="34">
        <f t="shared" ref="E69:T69" si="29">-D56*E41/100*(1/(1+E41/100))</f>
        <v>-6.2463275395389601</v>
      </c>
      <c r="F69" s="34">
        <f>-E56*F41/100*(1/(1+F41/100))</f>
        <v>-3.3915006112475261</v>
      </c>
      <c r="G69" s="34">
        <f>-F56*G41/100*(1/(1+G41/100))</f>
        <v>-2.4148044341436945</v>
      </c>
      <c r="H69" s="34">
        <f t="shared" si="29"/>
        <v>-2.4256361064776009</v>
      </c>
      <c r="I69" s="34">
        <f t="shared" si="29"/>
        <v>-2.4407435516461113</v>
      </c>
      <c r="J69" s="34">
        <f t="shared" si="29"/>
        <v>-2.4732632420968006</v>
      </c>
      <c r="K69" s="34">
        <f t="shared" si="29"/>
        <v>-2.5083886857819238</v>
      </c>
      <c r="L69" s="34">
        <f t="shared" si="29"/>
        <v>-2.54474395324115</v>
      </c>
      <c r="M69" s="34">
        <f t="shared" si="29"/>
        <v>-2.5892707574270628</v>
      </c>
      <c r="N69" s="34">
        <f t="shared" si="29"/>
        <v>-2.6436563749279105</v>
      </c>
      <c r="O69" s="34">
        <f t="shared" si="29"/>
        <v>-2.7091081791478131</v>
      </c>
      <c r="P69" s="34">
        <f t="shared" si="29"/>
        <v>-2.7288959593525117</v>
      </c>
      <c r="Q69" s="34">
        <f t="shared" si="29"/>
        <v>-2.755381886982307</v>
      </c>
      <c r="R69" s="34">
        <f t="shared" si="29"/>
        <v>-2.787645432154453</v>
      </c>
      <c r="S69" s="34">
        <f t="shared" si="29"/>
        <v>-2.8247748429413666</v>
      </c>
      <c r="T69" s="34">
        <f t="shared" si="29"/>
        <v>-2.8625616531357725</v>
      </c>
      <c r="U69" s="34">
        <f t="shared" ref="U69" si="30">-T56*U41/100*(1/(1+U41/100))</f>
        <v>-2.9028938834366755</v>
      </c>
      <c r="V69" s="34">
        <f t="shared" ref="V69" si="31">-U56*V41/100*(1/(1+V41/100))</f>
        <v>-2.9449233308441536</v>
      </c>
      <c r="W69" s="34">
        <f t="shared" ref="W69" si="32">-V56*W41/100*(1/(1+W41/100))</f>
        <v>-2.9873043452145485</v>
      </c>
    </row>
    <row r="70" spans="2:23" outlineLevel="1" x14ac:dyDescent="0.2">
      <c r="B70" s="79" t="s">
        <v>118</v>
      </c>
      <c r="C70" s="49"/>
      <c r="D70" s="49">
        <v>1.0712258511347272E-6</v>
      </c>
      <c r="E70" s="49">
        <v>1.157580009625292E-4</v>
      </c>
      <c r="F70" s="49">
        <v>5.778732171579648E-5</v>
      </c>
      <c r="G70" s="49">
        <v>3.7896517824709264E-5</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0.81180839999999999</v>
      </c>
      <c r="E71" s="50">
        <f>'Input data'!E16</f>
        <v>1.2174830000000001</v>
      </c>
      <c r="F71" s="50">
        <f>'Input data'!F16</f>
        <v>0.45447110000000002</v>
      </c>
      <c r="G71" s="50">
        <f>'Input data'!G16</f>
        <v>0.94000099999999998</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0.81181420000000004</v>
      </c>
      <c r="E72" s="34">
        <f t="shared" si="33"/>
        <v>1.217482</v>
      </c>
      <c r="F72" s="34">
        <f t="shared" si="33"/>
        <v>0.45447080000000001</v>
      </c>
      <c r="G72" s="34">
        <f t="shared" si="33"/>
        <v>0.94</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-5.8000000000557606E-6</v>
      </c>
      <c r="E73" s="49">
        <f t="shared" ref="E73:T73" si="34">+E71-E72</f>
        <v>1.000000000139778E-6</v>
      </c>
      <c r="F73" s="49">
        <f>+F71-F72</f>
        <v>3.000000000086267E-7</v>
      </c>
      <c r="G73" s="49">
        <f t="shared" si="34"/>
        <v>1.0000000000287557E-6</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-4.7358868046140392</v>
      </c>
      <c r="E76" s="78">
        <f t="shared" ref="E76:T76" si="36">E58-E67</f>
        <v>-3.636221191098254</v>
      </c>
      <c r="F76" s="78">
        <f t="shared" si="36"/>
        <v>-2.9820083201233079</v>
      </c>
      <c r="G76" s="78">
        <f t="shared" si="36"/>
        <v>-2.8611395893505343</v>
      </c>
      <c r="H76" s="78">
        <f t="shared" si="36"/>
        <v>-3.2516022746306121</v>
      </c>
      <c r="I76" s="78">
        <f t="shared" si="36"/>
        <v>-3.7203093501764086</v>
      </c>
      <c r="J76" s="78">
        <f t="shared" si="36"/>
        <v>-4.0492591316428435</v>
      </c>
      <c r="K76" s="78">
        <f t="shared" si="36"/>
        <v>-4.2960708156092231</v>
      </c>
      <c r="L76" s="78">
        <f t="shared" si="36"/>
        <v>-4.5923470017186876</v>
      </c>
      <c r="M76" s="78">
        <f t="shared" si="36"/>
        <v>-4.9462465330157945</v>
      </c>
      <c r="N76" s="78">
        <f t="shared" si="36"/>
        <v>-5.3439911049029849</v>
      </c>
      <c r="O76" s="78">
        <f t="shared" si="36"/>
        <v>-5.7614603548045373</v>
      </c>
      <c r="P76" s="78">
        <f t="shared" si="36"/>
        <v>-6.1685134174009892</v>
      </c>
      <c r="Q76" s="78">
        <f t="shared" si="36"/>
        <v>-6.5596523936429829</v>
      </c>
      <c r="R76" s="78">
        <f t="shared" si="36"/>
        <v>-6.9332207711405838</v>
      </c>
      <c r="S76" s="78">
        <f t="shared" si="36"/>
        <v>-7.2875283188326563</v>
      </c>
      <c r="T76" s="78">
        <f t="shared" si="36"/>
        <v>-7.6359292134925756</v>
      </c>
      <c r="U76" s="78">
        <f t="shared" ref="U76:W76" si="37">U58-U67</f>
        <v>-7.9789151930109643</v>
      </c>
      <c r="V76" s="78">
        <f t="shared" si="37"/>
        <v>-8.2982674487192831</v>
      </c>
      <c r="W76" s="78">
        <f t="shared" si="37"/>
        <v>-8.6562864051224491</v>
      </c>
    </row>
    <row r="77" spans="2:23" x14ac:dyDescent="0.2">
      <c r="B77" s="26" t="s">
        <v>42</v>
      </c>
      <c r="D77" s="34">
        <f>D59-D67-D63-D64-D65</f>
        <v>-4.7573049231606497</v>
      </c>
      <c r="E77" s="34">
        <f>E59-E67-E63-E64-E65</f>
        <v>-4.0912107187935547</v>
      </c>
      <c r="F77" s="34">
        <f t="shared" ref="F77:W77" si="38">F59-F67-F63-F64-F65</f>
        <v>-3.3823945592575937</v>
      </c>
      <c r="G77" s="34">
        <f t="shared" si="38"/>
        <v>-3.453035006741576</v>
      </c>
      <c r="H77" s="34">
        <f t="shared" si="38"/>
        <v>-3.6461977732770396</v>
      </c>
      <c r="I77" s="34">
        <f t="shared" si="38"/>
        <v>-3.851835096926564</v>
      </c>
      <c r="J77" s="34">
        <f t="shared" si="38"/>
        <v>-4.049244861454417</v>
      </c>
      <c r="K77" s="34">
        <f t="shared" si="38"/>
        <v>-4.2960589018048463</v>
      </c>
      <c r="L77" s="34">
        <f t="shared" si="38"/>
        <v>-4.5923356774301798</v>
      </c>
      <c r="M77" s="34">
        <f t="shared" si="38"/>
        <v>-4.9462346187197914</v>
      </c>
      <c r="N77" s="34">
        <f t="shared" si="38"/>
        <v>-5.3439786000736174</v>
      </c>
      <c r="O77" s="34">
        <f t="shared" si="38"/>
        <v>-5.761449031725804</v>
      </c>
      <c r="P77" s="34">
        <f t="shared" si="38"/>
        <v>-6.1685015037192903</v>
      </c>
      <c r="Q77" s="34">
        <f t="shared" si="38"/>
        <v>-6.559640479961292</v>
      </c>
      <c r="R77" s="34">
        <f t="shared" si="38"/>
        <v>-6.9332094475179078</v>
      </c>
      <c r="S77" s="34">
        <f t="shared" si="38"/>
        <v>-7.287517584273461</v>
      </c>
      <c r="T77" s="34">
        <f t="shared" si="38"/>
        <v>-7.6359173017767645</v>
      </c>
      <c r="U77" s="34">
        <f t="shared" si="38"/>
        <v>-7.9789050453461838</v>
      </c>
      <c r="V77" s="34">
        <f t="shared" si="38"/>
        <v>-8.2982578884115199</v>
      </c>
      <c r="W77" s="34">
        <f t="shared" si="38"/>
        <v>-8.656274493572651</v>
      </c>
    </row>
    <row r="78" spans="2:23" x14ac:dyDescent="0.2">
      <c r="B78" s="35" t="s">
        <v>123</v>
      </c>
      <c r="C78" s="35"/>
      <c r="D78" s="285">
        <f>'Input data'!D45</f>
        <v>11.906308458666208</v>
      </c>
      <c r="E78" s="285">
        <f>'Input data'!E45</f>
        <v>6.0726167049401747</v>
      </c>
      <c r="F78" s="285">
        <f>'Input data'!F45</f>
        <v>3.8484919420358179</v>
      </c>
      <c r="G78" s="49">
        <f>'Input data'!G33+G41-(G$12-F$12)/'Input data'!$C$64*100</f>
        <v>4.363639</v>
      </c>
      <c r="H78" s="49">
        <f>'Input data'!H33+H41-(H$12-G$12)/'Input data'!$C$64*100</f>
        <v>3.9768077500000003</v>
      </c>
      <c r="I78" s="49">
        <f>'Input data'!I33+I41-(I$12-H$12)/'Input data'!$C$64*100</f>
        <v>3.8258335000000003</v>
      </c>
      <c r="J78" s="49">
        <f>'Input data'!J33+J41-(J$12-I$12)/'Input data'!$C$64*100</f>
        <v>3.8208322500000005</v>
      </c>
      <c r="K78" s="49">
        <f>'Input data'!K33+K41-(K$12-J$12)/'Input data'!$C$64*100</f>
        <v>3.7878439999999998</v>
      </c>
      <c r="L78" s="49">
        <f>'Input data'!L33+L41-(L$12-K$12)/'Input data'!$C$64*100</f>
        <v>3.7416337500000001</v>
      </c>
      <c r="M78" s="49">
        <f>'Input data'!M33+M41-(M$12-L$12)/'Input data'!$C$64*100</f>
        <v>3.6832134999999999</v>
      </c>
      <c r="N78" s="49">
        <f>'Input data'!N33+N41-(N$12-M$12)/'Input data'!$C$64*100</f>
        <v>3.61907025</v>
      </c>
      <c r="O78" s="49">
        <f>'Input data'!O33+O41-(O$12-N$12)/'Input data'!$C$64*100</f>
        <v>3.5865229999999997</v>
      </c>
      <c r="P78" s="49">
        <f>'Input data'!P33+P41-(P$12-O$12)/'Input data'!$C$64*100</f>
        <v>3.6056159999999999</v>
      </c>
      <c r="Q78" s="49">
        <f>'Input data'!Q33+Q41-(Q$12-P$12)/'Input data'!$C$64*100</f>
        <v>3.6247079999999996</v>
      </c>
      <c r="R78" s="49">
        <f>'Input data'!R33+R41-(R$12-Q$12)/'Input data'!$C$64*100</f>
        <v>3.6438009999999998</v>
      </c>
      <c r="S78" s="49">
        <f>'Input data'!S33+S41-(S$12-R$12)/'Input data'!$C$64*100</f>
        <v>3.7872949999999999</v>
      </c>
      <c r="T78" s="49">
        <f>'Input data'!T33+T41-(T$12-S$12)/'Input data'!$C$64*100</f>
        <v>3.8433359999999999</v>
      </c>
      <c r="U78" s="49">
        <f>'Input data'!U33+U41-(U$12-T$12)/'Input data'!$C$64*100</f>
        <v>3.912655</v>
      </c>
      <c r="V78" s="49">
        <f>'Input data'!V33+V41-(V$12-U$12)/'Input data'!$C$64*100</f>
        <v>3.9992390000000002</v>
      </c>
      <c r="W78" s="49">
        <f>'Input data'!W33+W41-(W$12-V$12)/'Input data'!$C$64*100</f>
        <v>3.8933260000000001</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116.8408</v>
      </c>
      <c r="D87" s="110">
        <f>D56</f>
        <v>111.62002928145338</v>
      </c>
      <c r="E87" s="110">
        <f>E56</f>
        <v>107.65412775375809</v>
      </c>
      <c r="F87" s="110">
        <f>F56</f>
        <v>105.5099779146238</v>
      </c>
      <c r="G87" s="110">
        <f>G56</f>
        <v>104.84801239723276</v>
      </c>
      <c r="H87" s="110">
        <f t="shared" ref="H87:W87" si="41">G87*(1+H101/100)*H42-H59-H60+H61+H62+H63+H64+H65+H71</f>
        <v>104.38350015230242</v>
      </c>
      <c r="I87" s="110">
        <f t="shared" si="41"/>
        <v>104.66614746547381</v>
      </c>
      <c r="J87" s="110">
        <f t="shared" si="41"/>
        <v>105.05261571417816</v>
      </c>
      <c r="K87" s="110">
        <f t="shared" si="41"/>
        <v>105.4826821392073</v>
      </c>
      <c r="L87" s="110">
        <f t="shared" si="41"/>
        <v>106.23984981003274</v>
      </c>
      <c r="M87" s="110">
        <f t="shared" si="41"/>
        <v>107.38281295973452</v>
      </c>
      <c r="N87" s="110">
        <f t="shared" si="41"/>
        <v>108.94864461631704</v>
      </c>
      <c r="O87" s="110">
        <f t="shared" si="41"/>
        <v>110.91109454617171</v>
      </c>
      <c r="P87" s="110">
        <f t="shared" si="41"/>
        <v>113.1915296618244</v>
      </c>
      <c r="Q87" s="110">
        <f t="shared" si="41"/>
        <v>115.76213103111922</v>
      </c>
      <c r="R87" s="110">
        <f t="shared" si="41"/>
        <v>118.59423561922701</v>
      </c>
      <c r="S87" s="110">
        <f t="shared" si="41"/>
        <v>121.51796696446328</v>
      </c>
      <c r="T87" s="110">
        <f t="shared" si="41"/>
        <v>124.61752211977544</v>
      </c>
      <c r="U87" s="110">
        <f t="shared" si="41"/>
        <v>127.86213778870875</v>
      </c>
      <c r="V87" s="110">
        <f t="shared" si="41"/>
        <v>131.19779126429412</v>
      </c>
      <c r="W87" s="110">
        <f t="shared" si="41"/>
        <v>134.89328259069379</v>
      </c>
    </row>
    <row r="88" spans="2:23" x14ac:dyDescent="0.2">
      <c r="B88" s="26" t="s">
        <v>127</v>
      </c>
      <c r="C88" s="34"/>
      <c r="D88" s="254">
        <f>'Input data'!C66*$D$87</f>
        <v>92.157855454020762</v>
      </c>
      <c r="E88" s="34">
        <f t="shared" ref="E88:W88" si="42">IF(E87=0,0,IF(E83=1,D87*E42/((1+E23/100)*(1+E41/100))-E89-E90,IF(AND(E83=0,E84=1),(1-D93-E38*D94)*D87*E42/((1+E23/100)*(1+E41/100)),E87)))</f>
        <v>86.713038149766305</v>
      </c>
      <c r="F88" s="34">
        <f t="shared" si="42"/>
        <v>87.011336345534914</v>
      </c>
      <c r="G88" s="34">
        <f t="shared" si="42"/>
        <v>86.12620062640201</v>
      </c>
      <c r="H88" s="34">
        <f t="shared" si="42"/>
        <v>86.189876892094247</v>
      </c>
      <c r="I88" s="34">
        <f t="shared" si="42"/>
        <v>86.01958357662329</v>
      </c>
      <c r="J88" s="34">
        <f t="shared" si="42"/>
        <v>86.058334074698649</v>
      </c>
      <c r="K88" s="34">
        <f t="shared" si="42"/>
        <v>86.204892683765848</v>
      </c>
      <c r="L88" s="34">
        <f t="shared" si="42"/>
        <v>86.588168887361022</v>
      </c>
      <c r="M88" s="34">
        <f t="shared" si="42"/>
        <v>87.251174022994846</v>
      </c>
      <c r="N88" s="34">
        <f t="shared" si="42"/>
        <v>88.237164991273829</v>
      </c>
      <c r="O88" s="34">
        <f t="shared" si="42"/>
        <v>89.544181629939871</v>
      </c>
      <c r="P88" s="34">
        <f t="shared" si="42"/>
        <v>91.157986243023061</v>
      </c>
      <c r="Q88" s="34">
        <f t="shared" si="42"/>
        <v>93.033094908998549</v>
      </c>
      <c r="R88" s="34">
        <f t="shared" si="42"/>
        <v>95.146427880731622</v>
      </c>
      <c r="S88" s="34">
        <f t="shared" si="42"/>
        <v>97.354580733744214</v>
      </c>
      <c r="T88" s="34">
        <f t="shared" si="42"/>
        <v>99.717833455679013</v>
      </c>
      <c r="U88" s="34">
        <f t="shared" si="42"/>
        <v>102.20949979174179</v>
      </c>
      <c r="V88" s="34">
        <f t="shared" si="42"/>
        <v>104.79900994141767</v>
      </c>
      <c r="W88" s="34">
        <f t="shared" si="42"/>
        <v>107.66240169359941</v>
      </c>
    </row>
    <row r="89" spans="2:23" x14ac:dyDescent="0.2">
      <c r="B89" s="105" t="s">
        <v>128</v>
      </c>
      <c r="C89" s="34"/>
      <c r="D89" s="254">
        <f>'Input data'!C67*$D$87</f>
        <v>6.6572250300998093</v>
      </c>
      <c r="E89" s="34">
        <f t="shared" ref="E89:W89" si="43">IF(E87=0,0,IF(E83=1,E38*D87*D94*E42/((1+E23/100)*(1+E41/100)),IF(AND(E83=0,E84=1),(E38*D87*D94*E42/((1+E23/100)*(1+E41/100)))*(1-ABS(E87-D87*E42/((1+E23/100)*(1+E41/100)))/((E38*D87*D94*E42/((1+E23/100)*(1+E41/100)))+(D93*D87*E42/((1+E23/100)*(1+E41/100))))),0)))</f>
        <v>9.0521709577617173</v>
      </c>
      <c r="F89" s="34">
        <f t="shared" si="43"/>
        <v>8.1018922360868402</v>
      </c>
      <c r="G89" s="34">
        <f t="shared" si="43"/>
        <v>8.0475939950643145</v>
      </c>
      <c r="H89" s="34">
        <f t="shared" si="43"/>
        <v>8.0817009406644313</v>
      </c>
      <c r="I89" s="34">
        <f t="shared" si="43"/>
        <v>8.093851404040791</v>
      </c>
      <c r="J89" s="34">
        <f t="shared" si="43"/>
        <v>8.1256452734520348</v>
      </c>
      <c r="K89" s="34">
        <f t="shared" si="43"/>
        <v>8.1676958799537651</v>
      </c>
      <c r="L89" s="34">
        <f t="shared" si="43"/>
        <v>8.2323652345237566</v>
      </c>
      <c r="M89" s="34">
        <f t="shared" si="43"/>
        <v>8.3239895240776072</v>
      </c>
      <c r="N89" s="34">
        <f t="shared" si="43"/>
        <v>8.4469851290092475</v>
      </c>
      <c r="O89" s="34">
        <f t="shared" si="43"/>
        <v>8.6014820380347476</v>
      </c>
      <c r="P89" s="34">
        <f t="shared" si="43"/>
        <v>8.7565017293163034</v>
      </c>
      <c r="Q89" s="34">
        <f t="shared" si="43"/>
        <v>8.936621902577885</v>
      </c>
      <c r="R89" s="34">
        <f t="shared" si="43"/>
        <v>9.1396255513450644</v>
      </c>
      <c r="S89" s="34">
        <f t="shared" si="43"/>
        <v>9.3517374580786257</v>
      </c>
      <c r="T89" s="34">
        <f t="shared" si="43"/>
        <v>9.5787480294976195</v>
      </c>
      <c r="U89" s="34">
        <f t="shared" si="43"/>
        <v>9.8180938233202966</v>
      </c>
      <c r="V89" s="34">
        <f t="shared" si="43"/>
        <v>10.066838349589979</v>
      </c>
      <c r="W89" s="34">
        <f t="shared" si="43"/>
        <v>10.341891538707662</v>
      </c>
    </row>
    <row r="90" spans="2:23" x14ac:dyDescent="0.2">
      <c r="B90" s="105" t="s">
        <v>129</v>
      </c>
      <c r="C90" s="34"/>
      <c r="D90" s="254">
        <f>'Input data'!C68*$D$87</f>
        <v>7.2591429731261297</v>
      </c>
      <c r="E90" s="34">
        <f t="shared" ref="E90:W90" si="44">IF(E87=0,0,IF(E83=1,(1-D94)*D87*E42/((1+E23/100)*(1+E41/100)),IF(AND(E83=0,E84=1),(D93*D87*E42/((1+E23/100)*(1+E41/100)))*(1-ABS(E87-D87*E42/((1+E23/100)*(1+E41/100)))/((E38*D87*D94*E42/((1+E23/100)*(1+E41/100)))+(D93*D87*E42/((1+E23/100)*(1+E41/100))))),0)))</f>
        <v>7.0350986971308531</v>
      </c>
      <c r="F90" s="34">
        <f t="shared" si="44"/>
        <v>6.9602121255570193</v>
      </c>
      <c r="G90" s="34">
        <f t="shared" si="44"/>
        <v>6.8730392898980508</v>
      </c>
      <c r="H90" s="34">
        <f t="shared" si="44"/>
        <v>6.8603200449131307</v>
      </c>
      <c r="I90" s="34">
        <f t="shared" si="44"/>
        <v>6.8324031346333101</v>
      </c>
      <c r="J90" s="34">
        <f t="shared" si="44"/>
        <v>6.8193772343846106</v>
      </c>
      <c r="K90" s="34">
        <f t="shared" si="44"/>
        <v>6.8140227598784495</v>
      </c>
      <c r="L90" s="34">
        <f t="shared" si="44"/>
        <v>6.8269686864292698</v>
      </c>
      <c r="M90" s="34">
        <f t="shared" si="44"/>
        <v>6.8614028796462581</v>
      </c>
      <c r="N90" s="34">
        <f t="shared" si="44"/>
        <v>6.9205033911309837</v>
      </c>
      <c r="O90" s="34">
        <f t="shared" si="44"/>
        <v>7.0039705233925247</v>
      </c>
      <c r="P90" s="34">
        <f t="shared" si="44"/>
        <v>7.1085282720840377</v>
      </c>
      <c r="Q90" s="34">
        <f t="shared" si="44"/>
        <v>7.2327618258997992</v>
      </c>
      <c r="R90" s="34">
        <f t="shared" si="44"/>
        <v>7.3749614160097456</v>
      </c>
      <c r="S90" s="34">
        <f t="shared" si="44"/>
        <v>7.5241204538077602</v>
      </c>
      <c r="T90" s="34">
        <f t="shared" si="44"/>
        <v>7.6850114211062301</v>
      </c>
      <c r="U90" s="34">
        <f t="shared" si="44"/>
        <v>7.8556289806356752</v>
      </c>
      <c r="V90" s="34">
        <f t="shared" si="44"/>
        <v>8.0336755245671707</v>
      </c>
      <c r="W90" s="34">
        <f t="shared" si="44"/>
        <v>8.2327029532642904</v>
      </c>
    </row>
    <row r="91" spans="2:23" x14ac:dyDescent="0.2">
      <c r="B91" s="105" t="s">
        <v>130</v>
      </c>
      <c r="C91" s="34"/>
      <c r="D91" s="254">
        <f>'Input data'!C69*$D$87</f>
        <v>5.1662759242534131</v>
      </c>
      <c r="E91" s="34">
        <f>IF(E87=0,0,IF(E83=1,'Input data'!$C$58*(E87-D87*E42/((1+E23/100)*(1+E41/100))),0))</f>
        <v>4.5481690823205021</v>
      </c>
      <c r="F91" s="34">
        <f>IF(F87=0,0,IF(F83=1,'Input data'!$C$58*(F87-E87*F42/((1+F23/100)*(1+F41/100))),0))</f>
        <v>3.2201343356475656</v>
      </c>
      <c r="G91" s="34">
        <f>IF(G87=0,0,IF(G83=1,'Input data'!$C$58*(G87-F87*G42/((1+G23/100)*(1+G41/100))),0))</f>
        <v>3.5618137151990754</v>
      </c>
      <c r="H91" s="34">
        <f>IF(H87=0,0,IF(H83=1,'Input data'!$C$58*(H87-G87*H42/((1+H23/100)*(1+H41/100))),0))</f>
        <v>3.046844977474394</v>
      </c>
      <c r="I91" s="34">
        <f>IF(I87=0,0,IF(I83=1,'Input data'!$C$58*(I87-H87*I42/((1+I23/100)*(1+I41/100))),0))</f>
        <v>3.486037006024592</v>
      </c>
      <c r="J91" s="34">
        <f>IF(J87=0,0,IF(J83=1,'Input data'!$C$58*(J87-I87*J42/((1+J23/100)*(1+J41/100))),0))</f>
        <v>3.7942724250123607</v>
      </c>
      <c r="K91" s="34">
        <f>IF(K87=0,0,IF(K83=1,'Input data'!$C$58*(K87-J87*K42/((1+K23/100)*(1+K41/100))),0))</f>
        <v>4.0255420810653346</v>
      </c>
      <c r="L91" s="34">
        <f>IF(L87=0,0,IF(L83=1,'Input data'!$C$58*(L87-K87*L42/((1+L23/100)*(1+L41/100))),0))</f>
        <v>4.3031614002040648</v>
      </c>
      <c r="M91" s="34">
        <f>IF(M87=0,0,IF(M83=1,'Input data'!$C$58*(M87-L87*M42/((1+M23/100)*(1+M41/100))),0))</f>
        <v>4.6347754533359646</v>
      </c>
      <c r="N91" s="34">
        <f>IF(N87=0,0,IF(N83=1,'Input data'!$C$58*(N87-M87*N42/((1+N23/100)*(1+N41/100))),0))</f>
        <v>5.0074735722379167</v>
      </c>
      <c r="O91" s="34">
        <f>IF(O87=0,0,IF(O83=1,'Input data'!$C$58*(O87-N87*O42/((1+O23/100)*(1+O41/100))),0))</f>
        <v>5.3986542825100994</v>
      </c>
      <c r="P91" s="34">
        <f>IF(P87=0,0,IF(P83=1,'Input data'!$C$58*(P87-O87*P42/((1+P23/100)*(1+P41/100))),0))</f>
        <v>5.7800747252911595</v>
      </c>
      <c r="Q91" s="34">
        <f>IF(Q87=0,0,IF(Q83=1,'Input data'!$C$58*(Q87-P87*Q42/((1+Q23/100)*(1+Q41/100))),0))</f>
        <v>6.1465832108324205</v>
      </c>
      <c r="R91" s="34">
        <f>IF(R87=0,0,IF(R83=1,'Input data'!$C$58*(R87-Q87*R42/((1+R23/100)*(1+R41/100))),0))</f>
        <v>6.4966275393169353</v>
      </c>
      <c r="S91" s="34">
        <f>IF(S87=0,0,IF(S83=1,'Input data'!$C$58*(S87-R87*S42/((1+S23/100)*(1+S41/100))),0))</f>
        <v>6.828623915561808</v>
      </c>
      <c r="T91" s="34">
        <f>IF(T87=0,0,IF(T83=1,'Input data'!$C$58*(T87-S87*T42/((1+T23/100)*(1+T41/100))),0))</f>
        <v>7.1550855878039039</v>
      </c>
      <c r="U91" s="34">
        <f>IF(U87=0,0,IF(U83=1,'Input data'!$C$58*(U87-T87*U42/((1+U23/100)*(1+U41/100))),0))</f>
        <v>7.4764733286088569</v>
      </c>
      <c r="V91" s="34">
        <f>IF(V87=0,0,IF(V83=1,'Input data'!$C$58*(V87-U87*V42/((1+V23/100)*(1+V41/100))),0))</f>
        <v>7.7757155895525214</v>
      </c>
      <c r="W91" s="34">
        <f>IF(W87=0,0,IF(W83=1,'Input data'!$C$58*(W87-V87*W42/((1+W23/100)*(1+W41/100))),0))</f>
        <v>8.1111896626481848</v>
      </c>
    </row>
    <row r="92" spans="2:23" x14ac:dyDescent="0.2">
      <c r="B92" s="107" t="s">
        <v>131</v>
      </c>
      <c r="C92" s="49"/>
      <c r="D92" s="255">
        <f>'Input data'!C70*$D$87</f>
        <v>0.37952439985328523</v>
      </c>
      <c r="E92" s="49">
        <f>IF(E87=0,0,IF(E83=1,'Input data'!$C$57*(E87-D87*E42/((1+E23/100)*(1+E41/100))),0))</f>
        <v>0.30565086677871672</v>
      </c>
      <c r="F92" s="49">
        <f>IF(F87=0,0,IF(F83=1,'Input data'!$C$57*(F87-E87*F42/((1+F23/100)*(1+F41/100))),0))</f>
        <v>0.21640287179746234</v>
      </c>
      <c r="G92" s="49">
        <f>IF(G87=0,0,IF(G83=1,'Input data'!$C$57*(G87-F87*G42/((1+G23/100)*(1+G41/100))),0))</f>
        <v>0.23936477066931564</v>
      </c>
      <c r="H92" s="49">
        <f>IF(H87=0,0,IF(H83=1,'Input data'!$C$57*(H87-G87*H42/((1+H23/100)*(1+H41/100))),0))</f>
        <v>0.20475729715621929</v>
      </c>
      <c r="I92" s="49">
        <f>IF(I87=0,0,IF(I83=1,'Input data'!$C$57*(I87-H87*I42/((1+I23/100)*(1+I41/100))),0))</f>
        <v>0.23427234415182949</v>
      </c>
      <c r="J92" s="49">
        <f>IF(J87=0,0,IF(J83=1,'Input data'!$C$57*(J87-I87*J42/((1+J23/100)*(1+J41/100))),0))</f>
        <v>0.25498670663050954</v>
      </c>
      <c r="K92" s="49">
        <f>IF(K87=0,0,IF(K83=1,'Input data'!$C$57*(K87-J87*K42/((1+K23/100)*(1+K41/100))),0))</f>
        <v>0.27052873454389176</v>
      </c>
      <c r="L92" s="49">
        <f>IF(L87=0,0,IF(L83=1,'Input data'!$C$57*(L87-K87*L42/((1+L23/100)*(1+L41/100))),0))</f>
        <v>0.28918560151462819</v>
      </c>
      <c r="M92" s="49">
        <f>IF(M87=0,0,IF(M83=1,'Input data'!$C$57*(M87-L87*M42/((1+M23/100)*(1+M41/100))),0))</f>
        <v>0.31147107967984516</v>
      </c>
      <c r="N92" s="49">
        <f>IF(N87=0,0,IF(N83=1,'Input data'!$C$57*(N87-M87*N42/((1+N23/100)*(1+N41/100))),0))</f>
        <v>0.33651753266506673</v>
      </c>
      <c r="O92" s="49">
        <f>IF(O87=0,0,IF(O83=1,'Input data'!$C$57*(O87-N87*O42/((1+O23/100)*(1+O41/100))),0))</f>
        <v>0.36280607229446954</v>
      </c>
      <c r="P92" s="49">
        <f>IF(P87=0,0,IF(P83=1,'Input data'!$C$57*(P87-O87*P42/((1+P23/100)*(1+P41/100))),0))</f>
        <v>0.388438692109842</v>
      </c>
      <c r="Q92" s="49">
        <f>IF(Q87=0,0,IF(Q83=1,'Input data'!$C$57*(Q87-P87*Q42/((1+Q23/100)*(1+Q41/100))),0))</f>
        <v>0.41306918281057159</v>
      </c>
      <c r="R92" s="49">
        <f>IF(R87=0,0,IF(R83=1,'Input data'!$C$57*(R87-Q87*R42/((1+R23/100)*(1+R41/100))),0))</f>
        <v>0.4365932318236479</v>
      </c>
      <c r="S92" s="49">
        <f>IF(S87=0,0,IF(S83=1,'Input data'!$C$57*(S87-R87*S42/((1+S23/100)*(1+S41/100))),0))</f>
        <v>0.45890440327087678</v>
      </c>
      <c r="T92" s="49">
        <f>IF(T87=0,0,IF(T83=1,'Input data'!$C$57*(T87-S87*T42/((1+T23/100)*(1+T41/100))),0))</f>
        <v>0.4808436256886845</v>
      </c>
      <c r="U92" s="49">
        <f>IF(U87=0,0,IF(U83=1,'Input data'!$C$57*(U87-T87*U42/((1+U23/100)*(1+U41/100))),0))</f>
        <v>0.50244186440213379</v>
      </c>
      <c r="V92" s="49">
        <f>IF(V87=0,0,IF(V83=1,'Input data'!$C$57*(V87-U87*V42/((1+V23/100)*(1+V41/100))),0))</f>
        <v>0.52255185916679381</v>
      </c>
      <c r="W92" s="49">
        <f>IF(W87=0,0,IF(W83=1,'Input data'!$C$57*(W87-V87*W42/((1+W23/100)*(1+W41/100))),0))</f>
        <v>0.54509674247424555</v>
      </c>
    </row>
    <row r="93" spans="2:23" x14ac:dyDescent="0.2">
      <c r="B93" s="26" t="s">
        <v>73</v>
      </c>
      <c r="C93" s="36"/>
      <c r="D93" s="36">
        <f>1-D94</f>
        <v>6.8434607321399721E-2</v>
      </c>
      <c r="E93" s="36">
        <f>IF(E87&lt;&gt;0,(E90+E92)/(E88+E89+E90+E91+E92),0)</f>
        <v>6.8188277747234932E-2</v>
      </c>
      <c r="F93" s="36">
        <f t="shared" ref="F93" si="45">IF(F87&lt;&gt;0,(F90+F92)/(F88+F89+F90+F91+F92),0)</f>
        <v>6.8018353706429835E-2</v>
      </c>
      <c r="G93" s="36">
        <f>IF(G87&lt;&gt;0,(G90+G92)/(G88+G89+G90+G91+G92),0)</f>
        <v>6.7835373298455431E-2</v>
      </c>
      <c r="H93" s="36">
        <f>IF(H87&lt;&gt;0,(H90+H92)/(H88+H89+H90+H91+H92),0)</f>
        <v>6.7683851679249465E-2</v>
      </c>
      <c r="I93" s="36">
        <f t="shared" ref="I93:W93" si="46">IF(I87&lt;&gt;0,(I90+I92)/(I88+I89+I90+I91+I92),0)</f>
        <v>6.7516342675326052E-2</v>
      </c>
      <c r="J93" s="36">
        <f t="shared" si="46"/>
        <v>6.7341149888763274E-2</v>
      </c>
      <c r="K93" s="36">
        <f t="shared" si="46"/>
        <v>6.7163171723987239E-2</v>
      </c>
      <c r="L93" s="36">
        <f t="shared" si="46"/>
        <v>6.698196863670533E-2</v>
      </c>
      <c r="M93" s="36">
        <f>IF(M87&lt;&gt;0,(M90+M92)/(M88+M89+M90+M91+M92),0)</f>
        <v>6.6797225381083333E-2</v>
      </c>
      <c r="N93" s="36">
        <f t="shared" si="46"/>
        <v>6.6609556726042823E-2</v>
      </c>
      <c r="O93" s="36">
        <f t="shared" si="46"/>
        <v>6.6420556264731881E-2</v>
      </c>
      <c r="P93" s="36">
        <f t="shared" si="46"/>
        <v>6.6232579298045727E-2</v>
      </c>
      <c r="Q93" s="36">
        <f t="shared" si="46"/>
        <v>6.6047773486953301E-2</v>
      </c>
      <c r="R93" s="36">
        <f t="shared" si="46"/>
        <v>6.5867911766926981E-2</v>
      </c>
      <c r="S93" s="36">
        <f t="shared" si="46"/>
        <v>6.5694193677657498E-2</v>
      </c>
      <c r="T93" s="36">
        <f t="shared" si="46"/>
        <v>6.5527342446645251E-2</v>
      </c>
      <c r="U93" s="36">
        <f t="shared" si="46"/>
        <v>6.5367832804809345E-2</v>
      </c>
      <c r="V93" s="36">
        <f t="shared" si="46"/>
        <v>6.5216245649270838E-2</v>
      </c>
      <c r="W93" s="36">
        <f t="shared" si="46"/>
        <v>6.5072177999945205E-2</v>
      </c>
    </row>
    <row r="94" spans="2:23" x14ac:dyDescent="0.2">
      <c r="B94" s="35" t="s">
        <v>74</v>
      </c>
      <c r="C94" s="108"/>
      <c r="D94" s="108">
        <f>(D88+D89+D91)/D87</f>
        <v>0.93156539267860028</v>
      </c>
      <c r="E94" s="108">
        <f t="shared" ref="E94:F94" si="47">IF(E87&lt;&gt;0,(E88+E89+E91)/(E88+E89+E90+E91+E92),1)</f>
        <v>0.9318117222527651</v>
      </c>
      <c r="F94" s="108">
        <f t="shared" si="47"/>
        <v>0.93198164629357017</v>
      </c>
      <c r="G94" s="108">
        <f>IF(G87&lt;&gt;0,(G88+G89+G91)/(G88+G89+G90+G91+G92),1)</f>
        <v>0.93216462670154465</v>
      </c>
      <c r="H94" s="108">
        <f>IF(H87&lt;&gt;0,(H88+H89+H91)/(H88+H89+H90+H91+H92),1)</f>
        <v>0.9323161483207506</v>
      </c>
      <c r="I94" s="108">
        <f t="shared" ref="I94:W94" si="48">IF(I87&lt;&gt;0,(I88+I89+I91)/(I88+I89+I90+I91+I92),1)</f>
        <v>0.93248365732467386</v>
      </c>
      <c r="J94" s="108">
        <f t="shared" si="48"/>
        <v>0.93265885011123673</v>
      </c>
      <c r="K94" s="108">
        <f t="shared" si="48"/>
        <v>0.93283682827601277</v>
      </c>
      <c r="L94" s="108">
        <f t="shared" si="48"/>
        <v>0.93301803136329464</v>
      </c>
      <c r="M94" s="108">
        <f t="shared" si="48"/>
        <v>0.93320277461891654</v>
      </c>
      <c r="N94" s="108">
        <f t="shared" si="48"/>
        <v>0.93339044327395715</v>
      </c>
      <c r="O94" s="108">
        <f t="shared" si="48"/>
        <v>0.93357944373526813</v>
      </c>
      <c r="P94" s="108">
        <f t="shared" si="48"/>
        <v>0.93376742070195418</v>
      </c>
      <c r="Q94" s="108">
        <f t="shared" si="48"/>
        <v>0.93395222651304666</v>
      </c>
      <c r="R94" s="108">
        <f t="shared" si="48"/>
        <v>0.93413208823307303</v>
      </c>
      <c r="S94" s="108">
        <f t="shared" si="48"/>
        <v>0.9343058063223425</v>
      </c>
      <c r="T94" s="108">
        <f t="shared" si="48"/>
        <v>0.93447265755335485</v>
      </c>
      <c r="U94" s="108">
        <f t="shared" si="48"/>
        <v>0.93463216719519071</v>
      </c>
      <c r="V94" s="108">
        <f t="shared" si="48"/>
        <v>0.93478375435072913</v>
      </c>
      <c r="W94" s="108">
        <f t="shared" si="48"/>
        <v>0.93492782200005475</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1.94496</v>
      </c>
      <c r="D96" s="115">
        <f>D35</f>
        <v>2.2273139999999998</v>
      </c>
      <c r="E96" s="115">
        <f>E98+E99</f>
        <v>2.3933339999999999</v>
      </c>
      <c r="F96" s="115">
        <f>F98+F99</f>
        <v>2.4819740000000001</v>
      </c>
      <c r="G96" s="115">
        <f>G98+G99</f>
        <v>2.5283959999999999</v>
      </c>
      <c r="H96" s="115">
        <f>H98+H99</f>
        <v>2.6437002858495018</v>
      </c>
      <c r="I96" s="115">
        <f t="shared" ref="I96:W96" si="49">I98+I99</f>
        <v>2.7505036847138813</v>
      </c>
      <c r="J96" s="115">
        <f t="shared" si="49"/>
        <v>2.8613069498267953</v>
      </c>
      <c r="K96" s="115">
        <f t="shared" si="49"/>
        <v>2.9744226656426664</v>
      </c>
      <c r="L96" s="115">
        <f t="shared" si="49"/>
        <v>3.0888429038449274</v>
      </c>
      <c r="M96" s="115">
        <f t="shared" si="49"/>
        <v>3.2046447213439149</v>
      </c>
      <c r="N96" s="115">
        <f t="shared" si="49"/>
        <v>3.3218964432852012</v>
      </c>
      <c r="O96" s="115">
        <f t="shared" si="49"/>
        <v>3.4404847525592412</v>
      </c>
      <c r="P96" s="115">
        <f t="shared" si="49"/>
        <v>3.5418801831020281</v>
      </c>
      <c r="Q96" s="115">
        <f t="shared" si="49"/>
        <v>3.6287394108666184</v>
      </c>
      <c r="R96" s="115">
        <f t="shared" si="49"/>
        <v>3.702348266440425</v>
      </c>
      <c r="S96" s="115">
        <f t="shared" si="49"/>
        <v>3.7640100443034847</v>
      </c>
      <c r="T96" s="115">
        <f t="shared" si="49"/>
        <v>3.8150295195177479</v>
      </c>
      <c r="U96" s="115">
        <f t="shared" si="49"/>
        <v>3.8566592933014072</v>
      </c>
      <c r="V96" s="115">
        <f t="shared" si="49"/>
        <v>3.890053793524674</v>
      </c>
      <c r="W96" s="115">
        <f t="shared" si="49"/>
        <v>3.9162383001455829</v>
      </c>
    </row>
    <row r="97" spans="2:25" x14ac:dyDescent="0.2">
      <c r="B97" s="33" t="s">
        <v>133</v>
      </c>
      <c r="C97" s="1"/>
      <c r="D97" s="34"/>
      <c r="E97" s="266">
        <f>((E35*D87)-(E37*D90+D92))/(D88+D89+D91)</f>
        <v>2.3260480024200159</v>
      </c>
      <c r="F97" s="266">
        <f>((F35*E87)-(F37*E90+E92))/(E88+E89+E91)</f>
        <v>2.4105911346737496</v>
      </c>
      <c r="G97" s="266">
        <f>((G35*F87)-(G37*F90+F92))/(F88+F89+F91)</f>
        <v>2.5113758799267125</v>
      </c>
      <c r="H97" s="34">
        <f t="shared" ref="H97:W97" si="50">IF(G87&gt;0,(G97*G88+H36*(G91+G89))/(G88+G89+G91),H36)</f>
        <v>2.6319556982571135</v>
      </c>
      <c r="I97" s="34">
        <f t="shared" si="50"/>
        <v>2.7473602068262499</v>
      </c>
      <c r="J97" s="34">
        <f t="shared" si="50"/>
        <v>2.8670116431522032</v>
      </c>
      <c r="K97" s="34">
        <f t="shared" si="50"/>
        <v>2.9890936885990596</v>
      </c>
      <c r="L97" s="34">
        <f t="shared" si="50"/>
        <v>3.1125230371705745</v>
      </c>
      <c r="M97" s="34">
        <f t="shared" si="50"/>
        <v>3.2373800700185664</v>
      </c>
      <c r="N97" s="34">
        <f t="shared" si="50"/>
        <v>3.3637355482480817</v>
      </c>
      <c r="O97" s="34">
        <f t="shared" si="50"/>
        <v>3.4914661164014413</v>
      </c>
      <c r="P97" s="34">
        <f t="shared" si="50"/>
        <v>3.602503414709842</v>
      </c>
      <c r="Q97" s="34">
        <f t="shared" si="50"/>
        <v>3.6979149663654938</v>
      </c>
      <c r="R97" s="34">
        <f t="shared" si="50"/>
        <v>3.7790900707743464</v>
      </c>
      <c r="S97" s="34">
        <f t="shared" si="50"/>
        <v>3.847435967994516</v>
      </c>
      <c r="T97" s="34">
        <f t="shared" si="50"/>
        <v>3.9043599907676629</v>
      </c>
      <c r="U97" s="34">
        <f t="shared" si="50"/>
        <v>3.9512119000050481</v>
      </c>
      <c r="V97" s="34">
        <f t="shared" si="50"/>
        <v>3.9892348610098556</v>
      </c>
      <c r="W97" s="34">
        <f t="shared" si="50"/>
        <v>4.0195329380480294</v>
      </c>
    </row>
    <row r="98" spans="2:25" x14ac:dyDescent="0.2">
      <c r="B98" s="26" t="s">
        <v>134</v>
      </c>
      <c r="C98" s="34"/>
      <c r="D98" s="34"/>
      <c r="E98" s="266">
        <f>E35</f>
        <v>2.3933339999999999</v>
      </c>
      <c r="F98" s="266">
        <f>F35</f>
        <v>2.4819740000000001</v>
      </c>
      <c r="G98" s="266">
        <f>G35</f>
        <v>2.5283959999999999</v>
      </c>
      <c r="H98" s="34">
        <f t="shared" ref="H98:W98" si="51">(H97*(G88+G89+G91)+H37*(G90+G92))/G87</f>
        <v>2.6437002858495018</v>
      </c>
      <c r="I98" s="34">
        <f t="shared" si="51"/>
        <v>2.7505036847138813</v>
      </c>
      <c r="J98" s="34">
        <f t="shared" si="51"/>
        <v>2.8613069498267953</v>
      </c>
      <c r="K98" s="34">
        <f t="shared" si="51"/>
        <v>2.9744226656426664</v>
      </c>
      <c r="L98" s="34">
        <f t="shared" si="51"/>
        <v>3.0888429038449274</v>
      </c>
      <c r="M98" s="34">
        <f t="shared" si="51"/>
        <v>3.2046447213439149</v>
      </c>
      <c r="N98" s="34">
        <f t="shared" si="51"/>
        <v>3.3218964432852012</v>
      </c>
      <c r="O98" s="34">
        <f t="shared" si="51"/>
        <v>3.4404847525592412</v>
      </c>
      <c r="P98" s="34">
        <f t="shared" si="51"/>
        <v>3.5418801831020281</v>
      </c>
      <c r="Q98" s="34">
        <f t="shared" si="51"/>
        <v>3.6287394108666184</v>
      </c>
      <c r="R98" s="34">
        <f t="shared" si="51"/>
        <v>3.702348266440425</v>
      </c>
      <c r="S98" s="34">
        <f t="shared" si="51"/>
        <v>3.7640100443034847</v>
      </c>
      <c r="T98" s="34">
        <f t="shared" si="51"/>
        <v>3.8150295195177479</v>
      </c>
      <c r="U98" s="34">
        <f t="shared" si="51"/>
        <v>3.8566592933014072</v>
      </c>
      <c r="V98" s="34">
        <f t="shared" si="51"/>
        <v>3.890053793524674</v>
      </c>
      <c r="W98" s="34">
        <f t="shared" si="51"/>
        <v>3.9162383001455829</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-6.6690978814935242</v>
      </c>
      <c r="D101" s="115">
        <f t="shared" si="54"/>
        <v>-7.194321736264941</v>
      </c>
      <c r="E101" s="115">
        <f t="shared" si="54"/>
        <v>-5.697334787438213</v>
      </c>
      <c r="F101" s="115">
        <f t="shared" si="54"/>
        <v>-2.8305935414681183</v>
      </c>
      <c r="G101" s="115">
        <f t="shared" si="54"/>
        <v>-1.8086250554065875</v>
      </c>
      <c r="H101" s="115">
        <f t="shared" si="54"/>
        <v>-0.99428708513261688</v>
      </c>
      <c r="I101" s="115">
        <f t="shared" si="54"/>
        <v>-0.63337887608080345</v>
      </c>
      <c r="J101" s="115">
        <f t="shared" si="54"/>
        <v>-0.73832355560713436</v>
      </c>
      <c r="K101" s="115">
        <f t="shared" si="54"/>
        <v>-0.8151028729308063</v>
      </c>
      <c r="L101" s="115">
        <f t="shared" si="54"/>
        <v>-0.65930031296064229</v>
      </c>
      <c r="M101" s="115">
        <f t="shared" si="54"/>
        <v>-0.48998126929304942</v>
      </c>
      <c r="N101" s="115">
        <f t="shared" si="54"/>
        <v>-0.31338362161646982</v>
      </c>
      <c r="O101" s="115">
        <f t="shared" si="54"/>
        <v>-0.16645759464264387</v>
      </c>
      <c r="P101" s="115">
        <f t="shared" si="54"/>
        <v>-8.7864337132159687E-2</v>
      </c>
      <c r="Q101" s="115">
        <f t="shared" si="54"/>
        <v>-2.3303549714082106E-2</v>
      </c>
      <c r="R101" s="115">
        <f t="shared" si="54"/>
        <v>2.8475170758768265E-2</v>
      </c>
      <c r="S101" s="115">
        <f t="shared" si="54"/>
        <v>-5.4093513894648559E-2</v>
      </c>
      <c r="T101" s="115">
        <f t="shared" si="54"/>
        <v>-6.0478099033001165E-2</v>
      </c>
      <c r="U101" s="115">
        <f t="shared" si="54"/>
        <v>-8.8921747798009765E-2</v>
      </c>
      <c r="V101" s="115">
        <f t="shared" si="54"/>
        <v>-0.14215027831206983</v>
      </c>
      <c r="W101" s="115">
        <f t="shared" si="54"/>
        <v>-1.2998302018485397E-2</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116.8408</v>
      </c>
      <c r="D106" s="34">
        <v>111.61799999999999</v>
      </c>
      <c r="E106" s="34">
        <v>107.6521</v>
      </c>
      <c r="F106" s="34">
        <v>105.50790000000001</v>
      </c>
      <c r="G106" s="34">
        <v>104.8459</v>
      </c>
      <c r="H106" s="34">
        <v>104.3781</v>
      </c>
      <c r="I106" s="34">
        <v>104.65779999999999</v>
      </c>
      <c r="J106" s="34">
        <v>105.04170000000001</v>
      </c>
      <c r="K106" s="34">
        <v>105.4695</v>
      </c>
      <c r="L106" s="34">
        <v>106.2246</v>
      </c>
      <c r="M106" s="34">
        <v>107.36579999999999</v>
      </c>
      <c r="N106" s="34">
        <v>108.9301</v>
      </c>
      <c r="O106" s="34">
        <v>110.89109999999999</v>
      </c>
      <c r="P106" s="34">
        <v>113.17019999999999</v>
      </c>
      <c r="Q106" s="34">
        <v>115.7397</v>
      </c>
      <c r="R106" s="34">
        <v>118.57080000000001</v>
      </c>
      <c r="S106" s="34">
        <v>121.4936</v>
      </c>
      <c r="T106" s="34">
        <v>124.5924</v>
      </c>
      <c r="U106" s="34">
        <v>127.83629999999999</v>
      </c>
      <c r="V106" s="34">
        <v>131.17140000000001</v>
      </c>
      <c r="W106" s="34">
        <v>134.8663</v>
      </c>
    </row>
    <row r="107" spans="2:25" x14ac:dyDescent="0.2">
      <c r="B107" s="26" t="s">
        <v>132</v>
      </c>
      <c r="C107" s="34">
        <v>1.94496</v>
      </c>
      <c r="D107" s="34">
        <v>2.2273139999999998</v>
      </c>
      <c r="E107" s="34">
        <v>2.3933339999999999</v>
      </c>
      <c r="F107" s="34">
        <v>2.4819740000000001</v>
      </c>
      <c r="G107" s="34">
        <v>2.5283959999999999</v>
      </c>
      <c r="H107" s="34">
        <v>2.6404160000000001</v>
      </c>
      <c r="I107" s="34">
        <v>2.7475679999999998</v>
      </c>
      <c r="J107" s="34">
        <v>2.8586960000000001</v>
      </c>
      <c r="K107" s="34">
        <v>2.9721090000000001</v>
      </c>
      <c r="L107" s="34">
        <v>3.0867979999999999</v>
      </c>
      <c r="M107" s="34">
        <v>3.2028430000000001</v>
      </c>
      <c r="N107" s="34">
        <v>3.3203149999999999</v>
      </c>
      <c r="O107" s="34">
        <v>3.4391029999999998</v>
      </c>
      <c r="P107" s="34">
        <v>3.5406789999999999</v>
      </c>
      <c r="Q107" s="34">
        <v>3.6276980000000001</v>
      </c>
      <c r="R107" s="34">
        <v>3.7014490000000002</v>
      </c>
      <c r="S107" s="34">
        <v>3.763236</v>
      </c>
      <c r="T107" s="34">
        <v>3.814365</v>
      </c>
      <c r="U107" s="34">
        <v>3.85609</v>
      </c>
      <c r="V107" s="34">
        <v>3.8895659999999999</v>
      </c>
      <c r="W107" s="34">
        <v>3.9158219999999999</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-2.1969370000000001</v>
      </c>
      <c r="D12" s="2">
        <f>'Input data'!D13</f>
        <v>-2.3947409999999998</v>
      </c>
      <c r="E12" s="2">
        <f>'Input data'!E13</f>
        <v>-1.6308560000000001</v>
      </c>
      <c r="F12" s="2">
        <f>'Input data'!F13</f>
        <v>-0.84895830000000005</v>
      </c>
      <c r="G12" s="3">
        <f>IF(G10&lt;=$C$6,
IF(AND(F87=1,F77&lt;=-3.05,'Criteria results'!$F$6&lt;0.5),F12+0.5,
IF(AND(F78&lt;=-1.55,'Criteria results'!$F$5=4,'Criteria results'!$F$6&lt;0.4),F12+0.4,
IF(AND(F78&lt;=-1.55,'Criteria results'!$F$5=7,'Criteria results'!$F$6&lt;0.25),F12+0.25,
F12+'Criteria results'!$F$6))),F12)</f>
        <v>1.1041699999999932E-2</v>
      </c>
      <c r="H12" s="3">
        <f>IF(H10&lt;=$C$6,
IF(AND(G87=1,G77&lt;=-3.05,'Criteria results'!$F$6&lt;0.5),G12+0.5,
IF(AND(G78&lt;=-1.55,'Criteria results'!$F$5=4,'Criteria results'!$F$6&lt;0.4),G12+0.4,
IF(AND(G78&lt;=-1.55,'Criteria results'!$F$5=7,'Criteria results'!$F$6&lt;0.25),G12+0.25,
G12+'Criteria results'!$F$6))),G12)</f>
        <v>0.87104169999999992</v>
      </c>
      <c r="I12" s="3">
        <f>IF(I10&lt;=$C$6,
IF(AND(H87=1,H77&lt;=-3.05,'Criteria results'!$F$6&lt;0.5),H12+0.5,
IF(AND(H78&lt;=-1.55,'Criteria results'!$F$5=4,'Criteria results'!$F$6&lt;0.4),H12+0.4,
IF(AND(H78&lt;=-1.55,'Criteria results'!$F$5=7,'Criteria results'!$F$6&lt;0.25),H12+0.25,
H12+'Criteria results'!$F$6))),H12)</f>
        <v>1.7310417</v>
      </c>
      <c r="J12" s="3">
        <f>IF(J10&lt;=$C$6,
IF(AND(I87=1,I77&lt;=-3.05,'Criteria results'!$F$6&lt;0.5+J91),I12+0.5+J91,
IF(AND(I78&lt;=-1.55,'Criteria results'!$F$5=4,'Criteria results'!$F$6&lt;0.4),I12+0.4,
IF(AND(I78&lt;=-1.55,'Criteria results'!$F$5=7,'Criteria results'!$F$6&lt;0.25),I12+0.25,
I12+'Criteria results'!$F$6))),I12)</f>
        <v>2.5910416999999999</v>
      </c>
      <c r="K12" s="119">
        <f>IF(K10&lt;=$C$6,
IF(AND(J87=1,J77&lt;=-3.05,'Criteria results'!$F$6&lt;0.5+K91),J12+0.5+K91,
IF(AND(J78&lt;=-1.55,'Criteria results'!$F$5=4,'Criteria results'!$F$6&lt;0.4),J12+0.4,
IF(AND(J78&lt;=-1.55,'Criteria results'!$F$5=7,'Criteria results'!$F$6&lt;0.25),J12+0.25,
J12+'Criteria results'!$F$6))),J12)</f>
        <v>2.5910416999999999</v>
      </c>
      <c r="L12" s="119">
        <f>IF(L10&lt;=$C$6,
IF(AND(K87=1,K77&lt;=-3.05,'Criteria results'!$F$6&lt;0.5+L91),K12+0.5+L91,
IF(AND(K78&lt;=-1.55,'Criteria results'!$F$5=4,'Criteria results'!$F$6&lt;0.4),K12+0.4,
IF(AND(K78&lt;=-1.55,'Criteria results'!$F$5=7,'Criteria results'!$F$6&lt;0.25),K12+0.25,
K12+'Criteria results'!$F$6))),K12)</f>
        <v>2.5910416999999999</v>
      </c>
      <c r="M12" s="119">
        <f>IF(M10&lt;=$C$6,
IF(AND(L87=1,L77&lt;=-3.05,'Criteria results'!$F$6&lt;0.5+M91),L12+0.5+M91,
IF(AND(L78&lt;=-1.55,'Criteria results'!$F$5=4,'Criteria results'!$F$6&lt;0.4),L12+0.4,
IF(AND(L78&lt;=-1.55,'Criteria results'!$F$5=7,'Criteria results'!$F$6&lt;0.25),L12+0.25,
L12+'Criteria results'!$F$6))),L12)</f>
        <v>2.5910416999999999</v>
      </c>
      <c r="N12" s="119">
        <f>M12</f>
        <v>2.5910416999999999</v>
      </c>
      <c r="O12" s="119">
        <f t="shared" ref="O12:W12" si="0">N12</f>
        <v>2.5910416999999999</v>
      </c>
      <c r="P12" s="119">
        <f t="shared" si="0"/>
        <v>2.5910416999999999</v>
      </c>
      <c r="Q12" s="119">
        <f t="shared" si="0"/>
        <v>2.5910416999999999</v>
      </c>
      <c r="R12" s="119">
        <f t="shared" si="0"/>
        <v>2.5910416999999999</v>
      </c>
      <c r="S12" s="119">
        <f t="shared" si="0"/>
        <v>2.5910416999999999</v>
      </c>
      <c r="T12" s="119">
        <f t="shared" si="0"/>
        <v>2.5910416999999999</v>
      </c>
      <c r="U12" s="119">
        <f t="shared" si="0"/>
        <v>2.5910416999999999</v>
      </c>
      <c r="V12" s="119">
        <f t="shared" si="0"/>
        <v>2.5910416999999999</v>
      </c>
      <c r="W12" s="119">
        <f t="shared" si="0"/>
        <v>2.5910416999999999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0.86</v>
      </c>
      <c r="H13" s="263">
        <f t="shared" ref="H13:W13" si="1">H12-G12</f>
        <v>0.86</v>
      </c>
      <c r="I13" s="263">
        <f t="shared" si="1"/>
        <v>0.8600000000000001</v>
      </c>
      <c r="J13" s="263">
        <f t="shared" si="1"/>
        <v>0.85999999999999988</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-9.2449400000000001E-2</v>
      </c>
      <c r="D14" s="2">
        <f>'Input data'!D14</f>
        <v>-6.6846100000000006E-2</v>
      </c>
      <c r="E14" s="2">
        <f>'Input data'!E14</f>
        <v>0</v>
      </c>
      <c r="F14" s="2">
        <f>'Input data'!F14</f>
        <v>-0.18809000000000001</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1.03254E-2</v>
      </c>
      <c r="D15" s="2">
        <f>'Input data'!D15</f>
        <v>0.81181420000000004</v>
      </c>
      <c r="E15" s="2">
        <f>'Input data'!E15</f>
        <v>1.217482</v>
      </c>
      <c r="F15" s="2">
        <f>'Input data'!F15</f>
        <v>0.45447080000000001</v>
      </c>
      <c r="G15" s="2">
        <f>'Input data'!G15</f>
        <v>0.94</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22.788010000000003</v>
      </c>
      <c r="E18" s="101">
        <f>'Input data'!E20</f>
        <v>23.134040000000002</v>
      </c>
      <c r="F18" s="101">
        <f>'Input data'!F20</f>
        <v>23.198610000000002</v>
      </c>
      <c r="G18" s="101">
        <f>'Input data'!G20</f>
        <v>23.248739999999998</v>
      </c>
      <c r="H18" s="101">
        <f>'Input data'!H20</f>
        <v>23.324060000000006</v>
      </c>
      <c r="I18" s="101">
        <f>'Input data'!I20</f>
        <v>23.427720000000001</v>
      </c>
      <c r="J18" s="101">
        <f>'Input data'!J20</f>
        <v>23.512549999999997</v>
      </c>
      <c r="K18" s="101">
        <f>'Input data'!K20</f>
        <v>23.64058</v>
      </c>
      <c r="L18" s="101">
        <f>'Input data'!L20</f>
        <v>23.807760000000002</v>
      </c>
      <c r="M18" s="101">
        <f>'Input data'!M20</f>
        <v>24.019580000000001</v>
      </c>
      <c r="N18" s="101">
        <f>'Input data'!N20</f>
        <v>24.259330000000002</v>
      </c>
      <c r="O18" s="101">
        <f>'Input data'!O20</f>
        <v>24.501700000000003</v>
      </c>
      <c r="P18" s="101">
        <f>'Input data'!P20</f>
        <v>24.736699999999999</v>
      </c>
      <c r="Q18" s="101">
        <f>'Input data'!Q20</f>
        <v>24.956709999999998</v>
      </c>
      <c r="R18" s="101">
        <f>'Input data'!R20</f>
        <v>25.159790000000001</v>
      </c>
      <c r="S18" s="101">
        <f>'Input data'!S20</f>
        <v>25.349450000000001</v>
      </c>
      <c r="T18" s="101">
        <f>'Input data'!T20</f>
        <v>25.535530000000001</v>
      </c>
      <c r="U18" s="101">
        <f>'Input data'!U20</f>
        <v>25.718830000000001</v>
      </c>
      <c r="V18" s="101">
        <f>'Input data'!V20</f>
        <v>25.881730000000001</v>
      </c>
      <c r="W18" s="101">
        <f>'Input data'!W20</f>
        <v>26.077779999999997</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0.55616920000000003</v>
      </c>
      <c r="D19" s="101">
        <f>'Input data'!D26</f>
        <v>0.54702360000000005</v>
      </c>
      <c r="E19" s="101">
        <f>'Input data'!E26</f>
        <v>0.54794100000000001</v>
      </c>
      <c r="F19" s="101">
        <f>'Input data'!F26</f>
        <v>0.54885830000000002</v>
      </c>
      <c r="G19" s="101">
        <f>'Input data'!G26</f>
        <v>0.54977569999999998</v>
      </c>
      <c r="H19" s="101">
        <f>'Input data'!H26</f>
        <v>0.55069310000000005</v>
      </c>
      <c r="I19" s="101">
        <f>'Input data'!I26</f>
        <v>0.5516105</v>
      </c>
      <c r="J19" s="101">
        <f>'Input data'!J26</f>
        <v>0.55252780000000001</v>
      </c>
      <c r="K19" s="101">
        <f>'Input data'!K26</f>
        <v>0.55344519999999997</v>
      </c>
      <c r="L19" s="101">
        <f>'Input data'!L26</f>
        <v>0.55436260000000004</v>
      </c>
      <c r="M19" s="101">
        <f>'Input data'!M26</f>
        <v>0.55528</v>
      </c>
      <c r="N19" s="101">
        <f>'Input data'!N26</f>
        <v>0.55619730000000001</v>
      </c>
      <c r="O19" s="101">
        <f>'Input data'!O26</f>
        <v>0.55711469999999996</v>
      </c>
      <c r="P19" s="101">
        <f>'Input data'!P26</f>
        <v>0.55803210000000003</v>
      </c>
      <c r="Q19" s="101">
        <f>'Input data'!Q26</f>
        <v>0.55894949999999999</v>
      </c>
      <c r="R19" s="101">
        <f>'Input data'!R26</f>
        <v>0.5598668</v>
      </c>
      <c r="S19" s="101">
        <f>'Input data'!S26</f>
        <v>0.56078419999999995</v>
      </c>
      <c r="T19" s="101">
        <f>'Input data'!T26</f>
        <v>0.56170160000000002</v>
      </c>
      <c r="U19" s="101">
        <f>'Input data'!U26</f>
        <v>0.56261899999999998</v>
      </c>
      <c r="V19" s="101">
        <f>'Input data'!V26</f>
        <v>0.56353629999999999</v>
      </c>
      <c r="W19" s="101">
        <f>'Input data'!W26</f>
        <v>0.56445369999999995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1127.8630000000001</v>
      </c>
      <c r="D23" s="100">
        <f>'Baseline NFPC'!D22</f>
        <v>1192.94800365224</v>
      </c>
      <c r="E23" s="100">
        <f>'Baseline NFPC'!E22</f>
        <v>1222.8109994507863</v>
      </c>
      <c r="F23" s="100">
        <f>'Baseline NFPC'!F22</f>
        <v>1249.0368348338773</v>
      </c>
      <c r="G23" s="34">
        <f>IF(AND(G50&gt;1,F50&gt;1),IF(AND(G50&gt;0,F50&gt;0),G27*(G51/100+1),0)+IF(G50&gt;0,F23*(1+G52/100),0)-F23*(1+'Input data'!G30/100),IF(G50=1,G27,F23*(1+G52/100)))</f>
        <v>1266.3000102451149</v>
      </c>
      <c r="H23" s="34">
        <f>IF(AND(H50&gt;1,G50&gt;1),IF(AND(H50&gt;0,G50&gt;0),H27*(H51/100+1),0)+IF(H50&gt;0,G23*(1+H52/100),0)-G23*(1+'Input data'!H30/100),IF(H50=1,H27,G23*(1+H52/100)))</f>
        <v>1276.9926754143514</v>
      </c>
      <c r="I23" s="34">
        <f>IF(AND(I50&gt;1,H50&gt;1),IF(AND(I50&gt;0,H50&gt;0),I27*(I51/100+1),0)+IF(I50&gt;0,H23*(1+I52/100),0)-H23*(1+'Input data'!I30/100),IF(I50=1,I27,H23*(1+I52/100)))</f>
        <v>1288.7789121456826</v>
      </c>
      <c r="J23" s="34">
        <f>IF(AND(J50&gt;1,I50&gt;1),IF(AND(J50&gt;0,I50&gt;0),J27*(J51/100+1),0)+IF(J50&gt;0,I23*(1+J52/100),0)-I23*(1+'Input data'!J30/100),IF(J50=1,J27,I23*(1+J52/100)))</f>
        <v>1302.4786109935392</v>
      </c>
      <c r="K23" s="34">
        <f>IF(AND(K50&gt;1,J50&gt;1),IF(AND(K50&gt;0,J50&gt;0),K27*(K51/100+1),0)+IF(K50&gt;0,J23*(1+K52/100),0)-J23*(1+'Input data'!K30/100),IF(K50=1,K27,J23*(1+K52/100)))</f>
        <v>1325.4381028479847</v>
      </c>
      <c r="L23" s="34">
        <f>IF(AND(L50&gt;1,K50&gt;1),IF(AND(L50&gt;0,K50&gt;0),L27*(L51/100+1),0)+IF(L50&gt;0,K23*(1+L52/100),0)-K23*(1+'Input data'!L30/100),IF(L50=1,L27,K23*(1+L52/100)))</f>
        <v>1347.8186685915744</v>
      </c>
      <c r="M23" s="34">
        <f>IF(AND(M50&gt;1,L50&gt;1),IF(AND(M50&gt;0,L50&gt;0),M27*(M51/100+1),0)+IF(M50&gt;0,L23*(1+M52/100),0)-L23*(1+'Input data'!M30/100),IF(M50=1,M27,L23*(1+M52/100)))</f>
        <v>1369.4118645742244</v>
      </c>
      <c r="N23" s="34">
        <f>IF(AND(N50&gt;1,M50&gt;1),IF(AND(N50&gt;0,M50&gt;0),N27*(N51/100+1),0)+IF(N50&gt;0,M23*(1+N52/100),0)-M23*(1+'Input data'!N30/100),IF(N50=1,N27,M23*(1+N52/100)))</f>
        <v>1384.40734900899</v>
      </c>
      <c r="O23" s="34">
        <f>IF(AND(O50&gt;1,N50&gt;1),IF(AND(O50&gt;0,N50&gt;0),O27*(O51/100+1),0)+IF(O50&gt;0,N23*(1+O52/100),0)-N23*(1+'Input data'!O30/100),IF(O50=1,O27,N23*(1+O52/100)))</f>
        <v>1398.7570772833053</v>
      </c>
      <c r="P23" s="34">
        <f>IF(AND(P50&gt;1,O50&gt;1),IF(AND(P50&gt;0,O50&gt;0),P27*(P51/100+1),0)+IF(P50&gt;0,O23*(1+P52/100),0)-O23*(1+'Input data'!P30/100),IF(P50=1,P27,O23*(1+P52/100)))</f>
        <v>1413.9072250009224</v>
      </c>
      <c r="Q23" s="34">
        <f>IF(AND(Q50&gt;1,P50&gt;1),IF(AND(Q50&gt;0,P50&gt;0),Q27*(Q51/100+1),0)+IF(Q50&gt;0,P23*(1+Q52/100),0)-P23*(1+'Input data'!Q30/100),IF(Q50=1,Q27,P23*(1+Q52/100)))</f>
        <v>1429.8802480343359</v>
      </c>
      <c r="R23" s="34">
        <f>IF(AND(R50&gt;1,Q50&gt;1),IF(AND(R50&gt;0,Q50&gt;0),R27*(R51/100+1),0)+IF(R50&gt;0,Q23*(1+R52/100),0)-Q23*(1+'Input data'!R30/100),IF(R50=1,R27,Q23*(1+R52/100)))</f>
        <v>1446.6999579895687</v>
      </c>
      <c r="S23" s="34">
        <f>IF(AND(S50&gt;1,R50&gt;1),IF(AND(S50&gt;0,R50&gt;0),S27*(S51/100+1),0)+IF(S50&gt;0,R23*(1+S52/100),0)-R23*(1+'Input data'!S30/100),IF(S50=1,S27,R23*(1+S52/100)))</f>
        <v>1466.191288655564</v>
      </c>
      <c r="T23" s="34">
        <f>IF(AND(T50&gt;1,S50&gt;1),IF(AND(T50&gt;0,S50&gt;0),T27*(T51/100+1),0)+IF(T50&gt;0,S23*(1+T52/100),0)-S23*(1+'Input data'!T30/100),IF(T50=1,T27,S23*(1+T52/100)))</f>
        <v>1487.1700521186858</v>
      </c>
      <c r="U23" s="34">
        <f>IF(AND(U50&gt;1,T50&gt;1),IF(AND(U50&gt;0,T50&gt;0),U27*(U51/100+1),0)+IF(U50&gt;0,T23*(1+U52/100),0)-T23*(1+'Input data'!U30/100),IF(U50=1,U27,T23*(1+U52/100)))</f>
        <v>1509.8889243934811</v>
      </c>
      <c r="V23" s="34">
        <f>IF(AND(V50&gt;1,U50&gt;1),IF(AND(V50&gt;0,U50&gt;0),V27*(V51/100+1),0)+IF(V50&gt;0,U23*(1+V52/100),0)-U23*(1+'Input data'!V30/100),IF(V50=1,V27,U23*(1+V52/100)))</f>
        <v>1534.6773748208186</v>
      </c>
      <c r="W23" s="34">
        <f>IF(AND(W50&gt;1,V50&gt;1),IF(AND(W50&gt;0,V50&gt;0),W27*(W51/100+1),0)+IF(W50&gt;0,V23*(1+W52/100),0)-V23*(1+'Input data'!W30/100),IF(W50=1,W27,V23*(1+W52/100)))</f>
        <v>1558.6693238504149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6.4031729999999998</v>
      </c>
      <c r="D24" s="100">
        <f>'Baseline NFPC'!D23</f>
        <v>5.7706480000000004</v>
      </c>
      <c r="E24" s="100">
        <f>'Baseline NFPC'!E23</f>
        <v>2.5032939999999999</v>
      </c>
      <c r="F24" s="100">
        <f>'Baseline NFPC'!F23</f>
        <v>2.144717</v>
      </c>
      <c r="G24" s="34">
        <f t="shared" ref="G24:S24" si="2">100*(G23/F23-1)</f>
        <v>1.3821190000000039</v>
      </c>
      <c r="H24" s="34">
        <f t="shared" si="2"/>
        <v>0.84440220190526993</v>
      </c>
      <c r="I24" s="34">
        <f t="shared" si="2"/>
        <v>0.92296823296240671</v>
      </c>
      <c r="J24" s="34">
        <f t="shared" si="2"/>
        <v>1.062998371462176</v>
      </c>
      <c r="K24" s="34">
        <f t="shared" si="2"/>
        <v>1.7627538495186501</v>
      </c>
      <c r="L24" s="34">
        <f t="shared" si="2"/>
        <v>1.6885409960299302</v>
      </c>
      <c r="M24" s="34">
        <f t="shared" si="2"/>
        <v>1.6020846487617035</v>
      </c>
      <c r="N24" s="34">
        <f t="shared" si="2"/>
        <v>1.0950309999999908</v>
      </c>
      <c r="O24" s="34">
        <f t="shared" si="2"/>
        <v>1.0365249999999993</v>
      </c>
      <c r="P24" s="34">
        <f t="shared" si="2"/>
        <v>1.0831150000000012</v>
      </c>
      <c r="Q24" s="34">
        <f t="shared" si="2"/>
        <v>1.129708000000007</v>
      </c>
      <c r="R24" s="34">
        <f t="shared" si="2"/>
        <v>1.1763020000000068</v>
      </c>
      <c r="S24" s="34">
        <f t="shared" si="2"/>
        <v>1.3472960000000089</v>
      </c>
      <c r="T24" s="34">
        <f>100*(T23/S23-1)</f>
        <v>1.4308339999999919</v>
      </c>
      <c r="U24" s="34">
        <f t="shared" ref="U24" si="3">100*(U23/T23-1)</f>
        <v>1.5276580000000095</v>
      </c>
      <c r="V24" s="34">
        <f t="shared" ref="V24" si="4">100*(V23/U23-1)</f>
        <v>1.6417399999999915</v>
      </c>
      <c r="W24" s="34">
        <f t="shared" ref="W24" si="5">100*(W23/V23-1)</f>
        <v>1.5633220000000003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1173.0429999999999</v>
      </c>
      <c r="D27" s="100">
        <f>+C27*(1+'Input data'!D33/100)</f>
        <v>1191.1868783764799</v>
      </c>
      <c r="E27" s="100">
        <f>+D27*(1+'Input data'!E33/100)</f>
        <v>1213.5621207880349</v>
      </c>
      <c r="F27" s="100">
        <f>+E27*(1+'Input data'!F33/100)</f>
        <v>1236.8449775345198</v>
      </c>
      <c r="G27" s="34">
        <f>+F27*(1+'Input data'!G33/100)</f>
        <v>1261.8457332242676</v>
      </c>
      <c r="H27" s="34">
        <f>+G27*(1+'Input data'!H33/100)</f>
        <v>1282.1430265814731</v>
      </c>
      <c r="I27" s="34">
        <f>+H27*(1+'Input data'!I33/100)</f>
        <v>1300.4982374357346</v>
      </c>
      <c r="J27" s="34">
        <f>+I27*(1+'Input data'!J33/100)</f>
        <v>1318.7135489535367</v>
      </c>
      <c r="K27" s="34">
        <f>+J27*(1+'Input data'!K33/100)</f>
        <v>1336.4066099556267</v>
      </c>
      <c r="L27" s="34">
        <f>+K27*(1+'Input data'!L33/100)</f>
        <v>1353.3725457862693</v>
      </c>
      <c r="M27" s="34">
        <f>+L27*(1+'Input data'!M33/100)</f>
        <v>1369.4118645742244</v>
      </c>
      <c r="N27" s="34">
        <f>+M27*(1+'Input data'!N33/100)</f>
        <v>1384.4073627031089</v>
      </c>
      <c r="O27" s="34">
        <f>+N27*(1+'Input data'!O33/100)</f>
        <v>1398.7570634312199</v>
      </c>
      <c r="P27" s="34">
        <f>+O27*(1+'Input data'!P33/100)</f>
        <v>1413.9072249863734</v>
      </c>
      <c r="Q27" s="34">
        <f>+P27*(1+'Input data'!Q33/100)</f>
        <v>1429.8802480196225</v>
      </c>
      <c r="R27" s="34">
        <f>+Q27*(1+'Input data'!R33/100)</f>
        <v>1446.6999436758797</v>
      </c>
      <c r="S27" s="34">
        <f>+R27*(1+'Input data'!S33/100)</f>
        <v>1466.1912596820275</v>
      </c>
      <c r="T27" s="34">
        <f>+S27*(1+'Input data'!T33/100)</f>
        <v>1487.1700520544116</v>
      </c>
      <c r="U27" s="34">
        <f>+T27*(1+'Input data'!U33/100)</f>
        <v>1509.8888797131235</v>
      </c>
      <c r="V27" s="34">
        <f>+U27*(1+'Input data'!V33/100)</f>
        <v>1534.677314308037</v>
      </c>
      <c r="W27" s="34">
        <f>+V27*(1+'Input data'!W33/100)</f>
        <v>1558.6693237787163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-3.851521214482323</v>
      </c>
      <c r="D30" s="100">
        <f t="shared" ref="D30:T30" si="6">100*(D23/D27-1)</f>
        <v>0.14784626222212882</v>
      </c>
      <c r="E30" s="100">
        <f t="shared" si="6"/>
        <v>0.76212651205243009</v>
      </c>
      <c r="F30" s="100">
        <f t="shared" si="6"/>
        <v>0.9857223436085194</v>
      </c>
      <c r="G30" s="34">
        <f t="shared" si="6"/>
        <v>0.35299695545711884</v>
      </c>
      <c r="H30" s="34">
        <f t="shared" si="6"/>
        <v>-0.40169864518577736</v>
      </c>
      <c r="I30" s="34">
        <f t="shared" si="6"/>
        <v>-0.90114118979196522</v>
      </c>
      <c r="J30" s="34">
        <f t="shared" si="6"/>
        <v>-1.2311193718211766</v>
      </c>
      <c r="K30" s="34">
        <f t="shared" si="6"/>
        <v>-0.8207462478808103</v>
      </c>
      <c r="L30" s="34">
        <f t="shared" si="6"/>
        <v>-0.4103731239404107</v>
      </c>
      <c r="M30" s="34">
        <f>100*(M23/M27-1)</f>
        <v>0</v>
      </c>
      <c r="N30" s="34">
        <f t="shared" si="6"/>
        <v>-9.8916831392514837E-7</v>
      </c>
      <c r="O30" s="34">
        <f t="shared" si="6"/>
        <v>9.9031387534864734E-7</v>
      </c>
      <c r="P30" s="34">
        <f t="shared" si="6"/>
        <v>1.0289991081435801E-9</v>
      </c>
      <c r="Q30" s="34">
        <f t="shared" si="6"/>
        <v>1.0289991081435801E-9</v>
      </c>
      <c r="R30" s="34">
        <f t="shared" si="6"/>
        <v>9.8940275972125846E-7</v>
      </c>
      <c r="S30" s="34">
        <f t="shared" si="6"/>
        <v>1.9761089431469259E-6</v>
      </c>
      <c r="T30" s="34">
        <f t="shared" si="6"/>
        <v>4.3219205991817944E-9</v>
      </c>
      <c r="U30" s="34">
        <f t="shared" ref="U30:W30" si="7">100*(U23/U27-1)</f>
        <v>2.959181855111126E-6</v>
      </c>
      <c r="V30" s="34">
        <f t="shared" si="7"/>
        <v>3.9430296583375934E-6</v>
      </c>
      <c r="W30" s="34">
        <f t="shared" si="7"/>
        <v>4.5999870579294111E-9</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9.2295881492239893</v>
      </c>
      <c r="D33" s="2">
        <f t="shared" si="8"/>
        <v>10.152003533114161</v>
      </c>
      <c r="E33" s="2">
        <f t="shared" si="8"/>
        <v>8.5794699112708308</v>
      </c>
      <c r="F33" s="2">
        <f>100*((1+F24/100)*(1+F42/100)-1)</f>
        <v>5.4673252982514908</v>
      </c>
      <c r="G33" s="1">
        <f>100*((1+G24/100)*(1+G42/100)-1)</f>
        <v>3.7567984562641543</v>
      </c>
      <c r="H33" s="1">
        <f t="shared" si="8"/>
        <v>3.2326676569332857</v>
      </c>
      <c r="I33" s="1">
        <f t="shared" si="8"/>
        <v>3.3392957106716192</v>
      </c>
      <c r="J33" s="1">
        <f t="shared" si="8"/>
        <v>3.5089162150359288</v>
      </c>
      <c r="K33" s="1">
        <f t="shared" si="8"/>
        <v>4.2520265056912532</v>
      </c>
      <c r="L33" s="1">
        <f t="shared" si="8"/>
        <v>4.2023984170525885</v>
      </c>
      <c r="M33" s="1">
        <f t="shared" si="8"/>
        <v>4.1401824488825234</v>
      </c>
      <c r="N33" s="1">
        <f t="shared" si="8"/>
        <v>3.6467082512893434</v>
      </c>
      <c r="O33" s="1">
        <f t="shared" si="8"/>
        <v>3.6129563875000104</v>
      </c>
      <c r="P33" s="1">
        <f t="shared" si="8"/>
        <v>3.632936575875001</v>
      </c>
      <c r="Q33" s="1">
        <f t="shared" si="8"/>
        <v>3.6528942145999999</v>
      </c>
      <c r="R33" s="1">
        <f t="shared" si="8"/>
        <v>3.6728272518500082</v>
      </c>
      <c r="S33" s="1">
        <f t="shared" si="8"/>
        <v>3.8201700224000046</v>
      </c>
      <c r="T33" s="1">
        <f t="shared" si="8"/>
        <v>3.8778528702499759</v>
      </c>
      <c r="U33" s="1">
        <f>100*((1+U24/100)*(1+U42/100)-1)</f>
        <v>3.9490926433000118</v>
      </c>
      <c r="V33" s="1">
        <f t="shared" si="8"/>
        <v>4.0379440204999728</v>
      </c>
      <c r="W33" s="1">
        <f t="shared" si="8"/>
        <v>3.9297474026000145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1.94496</v>
      </c>
      <c r="D36" s="100">
        <f>'Input data'!D37</f>
        <v>2.2273139999999998</v>
      </c>
      <c r="E36" s="100">
        <f>'Input data'!E37</f>
        <v>2.3933339999999999</v>
      </c>
      <c r="F36" s="100">
        <f>'Input data'!F37</f>
        <v>2.4819740000000001</v>
      </c>
      <c r="G36" s="100">
        <f>'Input data'!G37</f>
        <v>2.5283959999999999</v>
      </c>
      <c r="H36" s="34">
        <f t="shared" ref="H36:W36" si="9">H109</f>
        <v>2.6361246787580406</v>
      </c>
      <c r="I36" s="34">
        <f t="shared" si="9"/>
        <v>2.73386480148549</v>
      </c>
      <c r="J36" s="34">
        <f t="shared" si="9"/>
        <v>2.8287631783892073</v>
      </c>
      <c r="K36" s="34">
        <f t="shared" si="9"/>
        <v>2.919841613953964</v>
      </c>
      <c r="L36" s="34">
        <f t="shared" si="9"/>
        <v>3.0117876140919071</v>
      </c>
      <c r="M36" s="34">
        <f t="shared" si="9"/>
        <v>3.1047909003314378</v>
      </c>
      <c r="N36" s="34">
        <f t="shared" si="9"/>
        <v>3.1991376501506701</v>
      </c>
      <c r="O36" s="34">
        <f t="shared" si="9"/>
        <v>3.2976764870007291</v>
      </c>
      <c r="P36" s="34">
        <f t="shared" si="9"/>
        <v>3.386346459134653</v>
      </c>
      <c r="Q36" s="34">
        <f t="shared" si="9"/>
        <v>3.4667137957330088</v>
      </c>
      <c r="R36" s="34">
        <f t="shared" si="9"/>
        <v>3.5389604010391911</v>
      </c>
      <c r="S36" s="34">
        <f t="shared" si="9"/>
        <v>3.6033241767476585</v>
      </c>
      <c r="T36" s="34">
        <f t="shared" si="9"/>
        <v>3.660127341840929</v>
      </c>
      <c r="U36" s="34">
        <f t="shared" si="9"/>
        <v>3.7098002215836239</v>
      </c>
      <c r="V36" s="34">
        <f t="shared" si="9"/>
        <v>3.752788578730923</v>
      </c>
      <c r="W36" s="34">
        <f t="shared" si="9"/>
        <v>3.7894773848470824</v>
      </c>
    </row>
    <row r="37" spans="2:51" x14ac:dyDescent="0.2">
      <c r="B37" s="32" t="s">
        <v>94</v>
      </c>
      <c r="C37" s="1"/>
      <c r="D37" s="2">
        <f>'Input data'!D$39</f>
        <v>2.1800000000000002</v>
      </c>
      <c r="E37" s="2">
        <f>'Input data'!E$39</f>
        <v>3.48</v>
      </c>
      <c r="F37" s="166">
        <f>'Input data'!F$39</f>
        <v>3.2930959999999998</v>
      </c>
      <c r="G37" s="166">
        <f>'Input data'!G$39</f>
        <v>3.4118309999999998</v>
      </c>
      <c r="H37" s="1">
        <f>G37+($O$37-$G$37)/($O$10-$G$10)</f>
        <v>3.5264958749999997</v>
      </c>
      <c r="I37" s="1">
        <f t="shared" ref="I37:N37" si="10">H37+($O$37-$G$37)/($O$10-$G$10)</f>
        <v>3.6411607499999996</v>
      </c>
      <c r="J37" s="1">
        <f t="shared" si="10"/>
        <v>3.7558256249999995</v>
      </c>
      <c r="K37" s="1">
        <f t="shared" si="10"/>
        <v>3.8704904999999994</v>
      </c>
      <c r="L37" s="1">
        <f t="shared" si="10"/>
        <v>3.9851553749999993</v>
      </c>
      <c r="M37" s="1">
        <f t="shared" si="10"/>
        <v>4.0998202499999996</v>
      </c>
      <c r="N37" s="1">
        <f t="shared" si="10"/>
        <v>4.2144851249999995</v>
      </c>
      <c r="O37" s="252">
        <f>'Input data'!$C$52</f>
        <v>4.3291500000000003</v>
      </c>
      <c r="P37" s="1">
        <f>'Baseline NFPC'!P36</f>
        <v>4.3126925000000007</v>
      </c>
      <c r="Q37" s="1">
        <f>'Baseline NFPC'!Q36</f>
        <v>4.2962350000000002</v>
      </c>
      <c r="R37" s="1">
        <f>'Baseline NFPC'!R36</f>
        <v>4.2797774999999998</v>
      </c>
      <c r="S37" s="1">
        <f>'Baseline NFPC'!S36</f>
        <v>4.2633200000000002</v>
      </c>
      <c r="T37" s="1">
        <f>'Baseline NFPC'!T36</f>
        <v>4.2468625000000007</v>
      </c>
      <c r="U37" s="1">
        <f>'Baseline NFPC'!U36</f>
        <v>4.2304050000000002</v>
      </c>
      <c r="V37" s="1">
        <f>'Baseline NFPC'!V36</f>
        <v>4.2139474999999997</v>
      </c>
      <c r="W37" s="1">
        <f>'Baseline NFPC'!W36</f>
        <v>4.1974900000000002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9.2594570000000001E-2</v>
      </c>
      <c r="D39" s="34">
        <f>'Baseline NFPC'!D38</f>
        <v>6.7370540000000007E-2</v>
      </c>
      <c r="E39" s="34">
        <f>'Baseline NFPC'!E38</f>
        <v>9.4524629999999998E-2</v>
      </c>
      <c r="F39" s="34">
        <f>'Baseline NFPC'!F38</f>
        <v>8.5181549999999995E-2</v>
      </c>
      <c r="G39" s="34">
        <f>'Baseline NFPC'!G38</f>
        <v>8.5454706666666658E-2</v>
      </c>
      <c r="H39" s="34">
        <f>'Baseline NFPC'!H38</f>
        <v>8.5727863333333335E-2</v>
      </c>
      <c r="I39" s="34">
        <f>'Baseline NFPC'!I38</f>
        <v>8.6001019999999997E-2</v>
      </c>
      <c r="J39" s="34">
        <f>'Baseline NFPC'!J38</f>
        <v>8.627417666666666E-2</v>
      </c>
      <c r="K39" s="34">
        <f>'Baseline NFPC'!K38</f>
        <v>8.6547333333333337E-2</v>
      </c>
      <c r="L39" s="34">
        <f>'Baseline NFPC'!L38</f>
        <v>8.682049E-2</v>
      </c>
      <c r="M39" s="34">
        <f>'Baseline NFPC'!M38</f>
        <v>8.7093646666666663E-2</v>
      </c>
      <c r="N39" s="34">
        <f>'Baseline NFPC'!N38</f>
        <v>8.736680333333334E-2</v>
      </c>
      <c r="O39" s="34">
        <f>'Baseline NFPC'!O38</f>
        <v>8.7639960000000003E-2</v>
      </c>
      <c r="P39" s="34">
        <f>'Baseline NFPC'!P38</f>
        <v>8.7639960000000003E-2</v>
      </c>
      <c r="Q39" s="34">
        <f>'Baseline NFPC'!Q38</f>
        <v>8.7639960000000003E-2</v>
      </c>
      <c r="R39" s="34">
        <f>'Baseline NFPC'!R38</f>
        <v>8.7639960000000003E-2</v>
      </c>
      <c r="S39" s="34">
        <f>'Baseline NFPC'!S38</f>
        <v>8.7639960000000003E-2</v>
      </c>
      <c r="T39" s="34">
        <f>'Baseline NFPC'!T38</f>
        <v>8.7639960000000003E-2</v>
      </c>
      <c r="U39" s="34">
        <f>'Baseline NFPC'!U38</f>
        <v>8.7639960000000003E-2</v>
      </c>
      <c r="V39" s="34">
        <f>'Baseline NFPC'!V38</f>
        <v>8.7639960000000003E-2</v>
      </c>
      <c r="W39" s="34">
        <f>'Baseline NFPC'!W38</f>
        <v>8.7639960000000003E-2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2.656326</v>
      </c>
      <c r="D42" s="2">
        <f>'Input data'!D42</f>
        <v>4.1423170000000002</v>
      </c>
      <c r="E42" s="2">
        <f>'Input data'!E42</f>
        <v>5.9277860000000002</v>
      </c>
      <c r="F42" s="2">
        <f>'Input data'!F42</f>
        <v>3.2528440000000001</v>
      </c>
      <c r="G42" s="2">
        <f>'Input data'!G42</f>
        <v>2.3423060000000002</v>
      </c>
      <c r="H42" s="1">
        <f>'Baseline NFPC'!H41</f>
        <v>2.3682677500000002</v>
      </c>
      <c r="I42" s="1">
        <f>'Baseline NFPC'!I41</f>
        <v>2.3942295000000002</v>
      </c>
      <c r="J42" s="1">
        <f>'Baseline NFPC'!J41</f>
        <v>2.4201912500000002</v>
      </c>
      <c r="K42" s="1">
        <f>'Baseline NFPC'!K41</f>
        <v>2.4461529999999998</v>
      </c>
      <c r="L42" s="1">
        <f>'Baseline NFPC'!L41</f>
        <v>2.4721147499999998</v>
      </c>
      <c r="M42" s="1">
        <f>'Baseline NFPC'!M41</f>
        <v>2.4980764999999998</v>
      </c>
      <c r="N42" s="1">
        <f>'Baseline NFPC'!N41</f>
        <v>2.5240382499999998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0.99997000000000003</v>
      </c>
      <c r="D43" s="1">
        <f>'Baseline NFPC'!D42</f>
        <v>0.99999990000000005</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0.59699999999999998</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0.23533130363807922</v>
      </c>
      <c r="I51" s="34">
        <f t="shared" si="12"/>
        <v>-0.26779909679051822</v>
      </c>
      <c r="J51" s="34">
        <f t="shared" si="12"/>
        <v>-0.60076079319464348</v>
      </c>
      <c r="K51" s="34">
        <f t="shared" si="12"/>
        <v>-0.82074624788078432</v>
      </c>
      <c r="L51" s="34">
        <f t="shared" si="12"/>
        <v>-0.41037312394039216</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5.7706480000000004</v>
      </c>
      <c r="E52" s="34">
        <f>'Input data'!E30-$C$47*((E12-D12)-('Input data'!E13-'Input data'!D13))</f>
        <v>2.5032939999999999</v>
      </c>
      <c r="F52" s="34">
        <f>'Input data'!F30-$C$47*((F12-E12)-('Input data'!F13-'Input data'!E13))</f>
        <v>2.144717</v>
      </c>
      <c r="G52" s="34">
        <f>'Input data'!G30-$C$47*((G12-F12))</f>
        <v>1.3821189999999999</v>
      </c>
      <c r="H52" s="34">
        <f>'Input data'!H30-$C$47*((H12-G12))</f>
        <v>0.63103500000000001</v>
      </c>
      <c r="I52" s="34">
        <f>'Input data'!I30-$C$47*((I12-H12))</f>
        <v>0.34257760000000004</v>
      </c>
      <c r="J52" s="34">
        <f>'Input data'!J30-$C$47*((J12-I12))</f>
        <v>0.53271100000000005</v>
      </c>
      <c r="K52" s="34">
        <f>'Input data'!K30-$C$47*((K12-J12))</f>
        <v>1.3416950000000001</v>
      </c>
      <c r="L52" s="34">
        <f>'Input data'!L30-$C$47*((L12-K12))</f>
        <v>1.26952</v>
      </c>
      <c r="M52" s="34">
        <f>'Input data'!M30-$C$47*((M12-L12))</f>
        <v>1.185136</v>
      </c>
      <c r="N52" s="34">
        <f>'Input data'!N30-$C$47*((N12-M12))</f>
        <v>1.0950310000000001</v>
      </c>
      <c r="O52" s="34">
        <f>'Input data'!O30-$C$47*((O12-N12))</f>
        <v>1.0365249999999999</v>
      </c>
      <c r="P52" s="34">
        <f>'Input data'!P30-$C$47*((P12-O12))</f>
        <v>1.083115</v>
      </c>
      <c r="Q52" s="34">
        <f>'Input data'!Q30-$C$47*((Q12-P12))</f>
        <v>1.1297079999999999</v>
      </c>
      <c r="R52" s="34">
        <f>'Input data'!R30-$C$47*((R12-Q12))</f>
        <v>1.176302</v>
      </c>
      <c r="S52" s="34">
        <f>'Input data'!S30-$C$47*((S12-R12))</f>
        <v>1.347296</v>
      </c>
      <c r="T52" s="34">
        <f>'Input data'!T30-$C$47*((T12-S12))</f>
        <v>1.4308339999999999</v>
      </c>
      <c r="U52" s="34">
        <f>'Input data'!U30-$C$47*((U12-T12))</f>
        <v>1.527658</v>
      </c>
      <c r="V52" s="34">
        <f>'Input data'!V30-$C$47*((V12-U12))</f>
        <v>1.64174</v>
      </c>
      <c r="W52" s="34">
        <f>'Input data'!W30-$C$47*((W12-V12))</f>
        <v>1.5633220000000001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116.8408</v>
      </c>
      <c r="D57" s="45">
        <f>+C57+D58</f>
        <v>111.62002928145338</v>
      </c>
      <c r="E57" s="45">
        <f>+D57+E58</f>
        <v>107.65412775375809</v>
      </c>
      <c r="F57" s="45">
        <f>+E57+F58</f>
        <v>105.5099779146238</v>
      </c>
      <c r="G57" s="45">
        <f>+F57+G58</f>
        <v>104.97907714628217</v>
      </c>
      <c r="H57" s="45">
        <f t="shared" ref="H57:S57" si="13">+G57+H58</f>
        <v>103.74121471198744</v>
      </c>
      <c r="I57" s="45">
        <f t="shared" si="13"/>
        <v>101.94036868200992</v>
      </c>
      <c r="J57" s="45">
        <f t="shared" si="13"/>
        <v>99.41445907477997</v>
      </c>
      <c r="K57" s="45">
        <f t="shared" si="13"/>
        <v>96.170147465660378</v>
      </c>
      <c r="L57" s="45">
        <f t="shared" si="13"/>
        <v>93.018638969876108</v>
      </c>
      <c r="M57" s="45">
        <f t="shared" si="13"/>
        <v>90.007057094889277</v>
      </c>
      <c r="N57" s="45">
        <f t="shared" si="13"/>
        <v>87.77045507144004</v>
      </c>
      <c r="O57" s="45">
        <f t="shared" si="13"/>
        <v>85.89690252080409</v>
      </c>
      <c r="P57" s="45">
        <f t="shared" si="13"/>
        <v>84.320118533898068</v>
      </c>
      <c r="Q57" s="45">
        <f t="shared" si="13"/>
        <v>83.015360076418162</v>
      </c>
      <c r="R57" s="45">
        <f t="shared" si="13"/>
        <v>81.957025752459728</v>
      </c>
      <c r="S57" s="45">
        <f t="shared" si="13"/>
        <v>81.023445472416014</v>
      </c>
      <c r="T57" s="45">
        <f>+S57+T58</f>
        <v>80.276386740036898</v>
      </c>
      <c r="U57" s="45">
        <f>+T57+U58</f>
        <v>79.69673458743226</v>
      </c>
      <c r="V57" s="45">
        <f t="shared" ref="V57" si="14">+U57+V58</f>
        <v>79.245422907480503</v>
      </c>
      <c r="W57" s="45">
        <f t="shared" ref="W57" si="15">+V57+W58</f>
        <v>79.100730778663831</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-5.2207707185466106</v>
      </c>
      <c r="E58" s="47">
        <f>-E59+E67+E72</f>
        <v>-3.9659015276953009</v>
      </c>
      <c r="F58" s="47">
        <f>-F59+F67+F72</f>
        <v>-2.1441498391342861</v>
      </c>
      <c r="G58" s="47">
        <f>-G59+G67+G72</f>
        <v>-0.53090076834164168</v>
      </c>
      <c r="H58" s="47">
        <f t="shared" ref="H58:S58" si="16">-H59+H67+H72</f>
        <v>-1.2378624342947242</v>
      </c>
      <c r="I58" s="47">
        <f t="shared" si="16"/>
        <v>-1.8008460299775197</v>
      </c>
      <c r="J58" s="47">
        <f t="shared" si="16"/>
        <v>-2.5259096072299534</v>
      </c>
      <c r="K58" s="47">
        <f t="shared" si="16"/>
        <v>-3.24431160911959</v>
      </c>
      <c r="L58" s="47">
        <f t="shared" si="16"/>
        <v>-3.1515084957842712</v>
      </c>
      <c r="M58" s="47">
        <f t="shared" si="16"/>
        <v>-3.0115818749868275</v>
      </c>
      <c r="N58" s="47">
        <f t="shared" si="16"/>
        <v>-2.2366020234492301</v>
      </c>
      <c r="O58" s="47">
        <f t="shared" si="16"/>
        <v>-1.8735525506359461</v>
      </c>
      <c r="P58" s="47">
        <f t="shared" si="16"/>
        <v>-1.5767839869060185</v>
      </c>
      <c r="Q58" s="47">
        <f t="shared" si="16"/>
        <v>-1.3047584574799103</v>
      </c>
      <c r="R58" s="47">
        <f t="shared" si="16"/>
        <v>-1.0583343239584286</v>
      </c>
      <c r="S58" s="47">
        <f t="shared" si="16"/>
        <v>-0.93358028004371152</v>
      </c>
      <c r="T58" s="47">
        <f>-T59+T67+T72</f>
        <v>-0.74705873237911968</v>
      </c>
      <c r="U58" s="47">
        <f t="shared" ref="U58:W58" si="17">-U59+U67+U72</f>
        <v>-0.57965215260464409</v>
      </c>
      <c r="V58" s="47">
        <f t="shared" si="17"/>
        <v>-0.45131167995175892</v>
      </c>
      <c r="W58" s="47">
        <f t="shared" si="17"/>
        <v>-0.14469212881667237</v>
      </c>
    </row>
    <row r="59" spans="2:48" outlineLevel="1" x14ac:dyDescent="0.2">
      <c r="B59" s="84" t="s">
        <v>106</v>
      </c>
      <c r="C59" s="48"/>
      <c r="D59" s="48">
        <f>D60+D61-D62-D63-D64-D65-D66</f>
        <v>-2.3733228814533889</v>
      </c>
      <c r="E59" s="48">
        <f t="shared" ref="E59:R59" si="18">E60+E61-E62-E63-E64-E65-E66</f>
        <v>-1.1758664723046994</v>
      </c>
      <c r="F59" s="48">
        <f t="shared" si="18"/>
        <v>-0.448572060865714</v>
      </c>
      <c r="G59" s="48">
        <f t="shared" si="18"/>
        <v>0.22178088240789987</v>
      </c>
      <c r="H59" s="48">
        <f t="shared" si="18"/>
        <v>0.6312276088240909</v>
      </c>
      <c r="I59" s="48">
        <f t="shared" si="18"/>
        <v>1.1930604096941968</v>
      </c>
      <c r="J59" s="48">
        <f t="shared" si="18"/>
        <v>1.8560634350227576</v>
      </c>
      <c r="K59" s="48">
        <f t="shared" si="18"/>
        <v>1.9739435900151538</v>
      </c>
      <c r="L59" s="48">
        <f t="shared" si="18"/>
        <v>2.0526737450075703</v>
      </c>
      <c r="M59" s="48">
        <f t="shared" si="18"/>
        <v>2.0867638999999958</v>
      </c>
      <c r="N59" s="48">
        <f t="shared" si="18"/>
        <v>1.8479306094665118</v>
      </c>
      <c r="O59" s="48">
        <f t="shared" si="18"/>
        <v>1.6064791912173777</v>
      </c>
      <c r="P59" s="48">
        <f t="shared" si="18"/>
        <v>1.372396000614311</v>
      </c>
      <c r="Q59" s="48">
        <f t="shared" si="18"/>
        <v>1.1533034006143124</v>
      </c>
      <c r="R59" s="48">
        <f t="shared" si="18"/>
        <v>0.95114129067344377</v>
      </c>
      <c r="S59" s="48">
        <f>S60+S61-S62-S63-S64-S65-S66</f>
        <v>0.76239927973703547</v>
      </c>
      <c r="T59" s="48">
        <f>T60+T61-T62-T63-T64-T65-T66</f>
        <v>0.57723550258018264</v>
      </c>
      <c r="U59" s="48">
        <f>U60+U61-U62-U63-U64-U65-U66</f>
        <v>0.39485466663156443</v>
      </c>
      <c r="V59" s="48">
        <f t="shared" ref="V59:W59" si="19">V60+V61-V62-V63-V64-V65-V66</f>
        <v>0.23287255398870244</v>
      </c>
      <c r="W59" s="48">
        <f t="shared" si="19"/>
        <v>3.7737602746192311E-2</v>
      </c>
    </row>
    <row r="60" spans="2:48" outlineLevel="1" x14ac:dyDescent="0.2">
      <c r="B60" s="79" t="s">
        <v>107</v>
      </c>
      <c r="C60" s="1"/>
      <c r="D60" s="1">
        <f>D12</f>
        <v>-2.3947409999999998</v>
      </c>
      <c r="E60" s="1">
        <f>E12</f>
        <v>-1.6308560000000001</v>
      </c>
      <c r="F60" s="1">
        <f>F12</f>
        <v>-0.84895830000000005</v>
      </c>
      <c r="G60" s="1">
        <f t="shared" ref="G60:W60" si="20">IF(G12="",F60,G12)</f>
        <v>1.1041699999999932E-2</v>
      </c>
      <c r="H60" s="1">
        <f t="shared" si="20"/>
        <v>0.87104169999999992</v>
      </c>
      <c r="I60" s="1">
        <f t="shared" si="20"/>
        <v>1.7310417</v>
      </c>
      <c r="J60" s="1">
        <f t="shared" si="20"/>
        <v>2.5910416999999999</v>
      </c>
      <c r="K60" s="1">
        <f t="shared" si="20"/>
        <v>2.5910416999999999</v>
      </c>
      <c r="L60" s="1">
        <f t="shared" si="20"/>
        <v>2.5910416999999999</v>
      </c>
      <c r="M60" s="1">
        <f t="shared" si="20"/>
        <v>2.5910416999999999</v>
      </c>
      <c r="N60" s="1">
        <f t="shared" si="20"/>
        <v>2.5910416999999999</v>
      </c>
      <c r="O60" s="1">
        <f t="shared" si="20"/>
        <v>2.5910416999999999</v>
      </c>
      <c r="P60" s="1">
        <f t="shared" si="20"/>
        <v>2.5910416999999999</v>
      </c>
      <c r="Q60" s="1">
        <f t="shared" si="20"/>
        <v>2.5910416999999999</v>
      </c>
      <c r="R60" s="1">
        <f t="shared" si="20"/>
        <v>2.5910416999999999</v>
      </c>
      <c r="S60" s="1">
        <f t="shared" si="20"/>
        <v>2.5910416999999999</v>
      </c>
      <c r="T60" s="1">
        <f t="shared" si="20"/>
        <v>2.5910416999999999</v>
      </c>
      <c r="U60" s="1">
        <f t="shared" si="20"/>
        <v>2.5910416999999999</v>
      </c>
      <c r="V60" s="1">
        <f t="shared" si="20"/>
        <v>2.5910416999999999</v>
      </c>
      <c r="W60" s="1">
        <f t="shared" si="20"/>
        <v>2.5910416999999999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-8.8264218546610901E-2</v>
      </c>
      <c r="E62" s="1">
        <f t="shared" si="21"/>
        <v>-0.45498952769530077</v>
      </c>
      <c r="F62" s="1">
        <f t="shared" si="21"/>
        <v>-0.58847623913428604</v>
      </c>
      <c r="G62" s="1">
        <f t="shared" si="21"/>
        <v>-0.21073918240789993</v>
      </c>
      <c r="H62" s="1">
        <f t="shared" si="21"/>
        <v>0.23981409117590907</v>
      </c>
      <c r="I62" s="1">
        <f t="shared" si="21"/>
        <v>0.53798129030580322</v>
      </c>
      <c r="J62" s="1">
        <f t="shared" si="21"/>
        <v>0.73497826497724239</v>
      </c>
      <c r="K62" s="1">
        <f t="shared" si="21"/>
        <v>0.48998550998484375</v>
      </c>
      <c r="L62" s="1">
        <f t="shared" si="21"/>
        <v>0.24499275499242518</v>
      </c>
      <c r="M62" s="1">
        <f>-$C$48*M30</f>
        <v>0</v>
      </c>
      <c r="N62" s="1">
        <f t="shared" si="21"/>
        <v>5.9053348341331355E-7</v>
      </c>
      <c r="O62" s="1">
        <f t="shared" si="21"/>
        <v>-5.9121738358314249E-7</v>
      </c>
      <c r="P62" s="1">
        <f t="shared" si="21"/>
        <v>-6.1431246756171729E-10</v>
      </c>
      <c r="Q62" s="1">
        <f t="shared" si="21"/>
        <v>-6.1431246756171729E-10</v>
      </c>
      <c r="R62" s="1">
        <f t="shared" si="21"/>
        <v>-5.9067344755359124E-7</v>
      </c>
      <c r="S62" s="1">
        <f t="shared" si="21"/>
        <v>-1.1797370390587147E-6</v>
      </c>
      <c r="T62" s="1">
        <f t="shared" si="21"/>
        <v>-2.5801865977115313E-9</v>
      </c>
      <c r="U62" s="1">
        <f>-$C$48*U30</f>
        <v>-1.7666315675013421E-6</v>
      </c>
      <c r="V62" s="1">
        <f t="shared" si="21"/>
        <v>-2.3539887060275431E-6</v>
      </c>
      <c r="W62" s="1">
        <f t="shared" si="21"/>
        <v>-2.7461922735838584E-9</v>
      </c>
    </row>
    <row r="63" spans="2:48" outlineLevel="1" x14ac:dyDescent="0.2">
      <c r="B63" s="79" t="s">
        <v>110</v>
      </c>
      <c r="C63" s="1"/>
      <c r="D63" s="1">
        <f t="shared" ref="D63:W63" si="22">-D14</f>
        <v>6.6846100000000006E-2</v>
      </c>
      <c r="E63" s="1">
        <f t="shared" si="22"/>
        <v>0</v>
      </c>
      <c r="F63" s="1">
        <f t="shared" si="22"/>
        <v>0.18809000000000001</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0.12803000000000253</v>
      </c>
      <c r="L64" s="1">
        <f>IF(L$56&lt;=$C$6,0,HLOOKUP(L$56,'Input data'!$C$9:$BB$26,12,FALSE)-HLOOKUP($C$6,'Input data'!$C$9:$BB$26,12,FALSE))</f>
        <v>0.29521000000000441</v>
      </c>
      <c r="M64" s="1">
        <f>IF(M$56&lt;=$C$6,0,HLOOKUP(M$56,'Input data'!$C$9:$BB$26,12,FALSE)-HLOOKUP($C$6,'Input data'!$C$9:$BB$26,12,FALSE))</f>
        <v>0.50703000000000387</v>
      </c>
      <c r="N64" s="1">
        <f>IF(N$56&lt;=$C$6,0,HLOOKUP(N$56,'Input data'!$C$9:$BB$26,12,FALSE)-HLOOKUP($C$6,'Input data'!$C$9:$BB$26,12,FALSE))</f>
        <v>0.74678000000000466</v>
      </c>
      <c r="O64" s="1">
        <f>IF(O$56&lt;=$C$6,0,HLOOKUP(O$56,'Input data'!$C$9:$BB$26,12,FALSE)-HLOOKUP($C$6,'Input data'!$C$9:$BB$26,12,FALSE))</f>
        <v>0.98915000000000575</v>
      </c>
      <c r="P64" s="1">
        <f>IF(P$56&lt;=$C$6,0,HLOOKUP(P$56,'Input data'!$C$9:$BB$26,12,FALSE)-HLOOKUP($C$6,'Input data'!$C$9:$BB$26,12,FALSE))</f>
        <v>1.2241500000000016</v>
      </c>
      <c r="Q64" s="1">
        <f>IF(Q$56&lt;=$C$6,0,HLOOKUP(Q$56,'Input data'!$C$9:$BB$26,12,FALSE)-HLOOKUP($C$6,'Input data'!$C$9:$BB$26,12,FALSE))</f>
        <v>1.4441600000000001</v>
      </c>
      <c r="R64" s="1">
        <f>IF(R$56&lt;=$C$6,0,HLOOKUP(R$56,'Input data'!$C$9:$BB$26,12,FALSE)-HLOOKUP($C$6,'Input data'!$C$9:$BB$26,12,FALSE))</f>
        <v>1.6472400000000036</v>
      </c>
      <c r="S64" s="1">
        <f>IF(S$56&lt;=$C$6,0,HLOOKUP(S$56,'Input data'!$C$9:$BB$26,12,FALSE)-HLOOKUP($C$6,'Input data'!$C$9:$BB$26,12,FALSE))</f>
        <v>1.8369000000000035</v>
      </c>
      <c r="T64" s="1">
        <f>IF(T$56&lt;=$C$6,0,HLOOKUP(T$56,'Input data'!$C$9:$BB$26,12,FALSE)-HLOOKUP($C$6,'Input data'!$C$9:$BB$26,12,FALSE))</f>
        <v>2.022980000000004</v>
      </c>
      <c r="U64" s="1">
        <f>IF(U$56&lt;=$C$6,0,HLOOKUP(U$56,'Input data'!$C$9:$BB$26,12,FALSE)-HLOOKUP($C$6,'Input data'!$C$9:$BB$26,12,FALSE))</f>
        <v>2.2062800000000031</v>
      </c>
      <c r="V64" s="1">
        <f>IF(V$56&lt;=$C$6,0,HLOOKUP(V$56,'Input data'!$C$9:$BB$26,12,FALSE)-HLOOKUP($C$6,'Input data'!$C$9:$BB$26,12,FALSE))</f>
        <v>2.3691800000000036</v>
      </c>
      <c r="W64" s="1">
        <f>IF(W$56&lt;=$C$6,0,HLOOKUP(W$56,'Input data'!$C$9:$BB$26,12,FALSE)-HLOOKUP($C$6,'Input data'!$C$9:$BB$26,12,FALSE))</f>
        <v>2.5652299999999997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-9.1739999999995714E-4</v>
      </c>
      <c r="L65" s="1">
        <f>IF(L$56&lt;=$C$6,0,-HLOOKUP(L$56,'Input data'!$C$9:$BB$26,18,FALSE)+HLOOKUP($C$6,'Input data'!$C$9:$BB$26,18,FALSE))</f>
        <v>-1.8348000000000253E-3</v>
      </c>
      <c r="M65" s="1">
        <f>IF(M$56&lt;=$C$6,0,-HLOOKUP(M$56,'Input data'!$C$9:$BB$26,18,FALSE)+HLOOKUP($C$6,'Input data'!$C$9:$BB$26,18,FALSE))</f>
        <v>-2.7521999999999824E-3</v>
      </c>
      <c r="N65" s="1">
        <f>IF(N$56&lt;=$C$6,0,-HLOOKUP(N$56,'Input data'!$C$9:$BB$26,18,FALSE)+HLOOKUP($C$6,'Input data'!$C$9:$BB$26,18,FALSE))</f>
        <v>-3.6694999999999922E-3</v>
      </c>
      <c r="O65" s="1">
        <f>IF(O$56&lt;=$C$6,0,-HLOOKUP(O$56,'Input data'!$C$9:$BB$26,18,FALSE)+HLOOKUP($C$6,'Input data'!$C$9:$BB$26,18,FALSE))</f>
        <v>-4.5868999999999494E-3</v>
      </c>
      <c r="P65" s="1">
        <f>IF(P$56&lt;=$C$6,0,-HLOOKUP(P$56,'Input data'!$C$9:$BB$26,18,FALSE)+HLOOKUP($C$6,'Input data'!$C$9:$BB$26,18,FALSE))</f>
        <v>-5.5043000000000175E-3</v>
      </c>
      <c r="Q65" s="1">
        <f>IF(Q$56&lt;=$C$6,0,-HLOOKUP(Q$56,'Input data'!$C$9:$BB$26,18,FALSE)+HLOOKUP($C$6,'Input data'!$C$9:$BB$26,18,FALSE))</f>
        <v>-6.4216999999999747E-3</v>
      </c>
      <c r="R65" s="1">
        <f>IF(R$56&lt;=$C$6,0,-HLOOKUP(R$56,'Input data'!$C$9:$BB$26,18,FALSE)+HLOOKUP($C$6,'Input data'!$C$9:$BB$26,18,FALSE))</f>
        <v>-7.3389999999999844E-3</v>
      </c>
      <c r="S65" s="1">
        <f>IF(S$56&lt;=$C$6,0,-HLOOKUP(S$56,'Input data'!$C$9:$BB$26,18,FALSE)+HLOOKUP($C$6,'Input data'!$C$9:$BB$26,18,FALSE))</f>
        <v>-8.2563999999999416E-3</v>
      </c>
      <c r="T65" s="1">
        <f>IF(T$56&lt;=$C$6,0,-HLOOKUP(T$56,'Input data'!$C$9:$BB$26,18,FALSE)+HLOOKUP($C$6,'Input data'!$C$9:$BB$26,18,FALSE))</f>
        <v>-9.1738000000000097E-3</v>
      </c>
      <c r="U65" s="264">
        <f>IF(U$56&lt;=$C$6,0,-HLOOKUP(U$56,'Input data'!$C$9:$BB$26,18,FALSE)+HLOOKUP($C$6,'Input data'!$C$9:$BB$26,18,FALSE))</f>
        <v>-1.0091199999999967E-2</v>
      </c>
      <c r="V65" s="264">
        <f>IF(V$56&lt;=$C$6,0,-HLOOKUP(V$56,'Input data'!$C$9:$BB$26,18,FALSE)+HLOOKUP($C$6,'Input data'!$C$9:$BB$26,18,FALSE))</f>
        <v>-1.1008499999999977E-2</v>
      </c>
      <c r="W65" s="264">
        <f>IF(W$56&lt;=$C$6,0,-HLOOKUP(W$56,'Input data'!$C$9:$BB$26,18,FALSE)+HLOOKUP($C$6,'Input data'!$C$9:$BB$26,18,FALSE))</f>
        <v>-1.1925899999999934E-2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-8.4059019999999993</v>
      </c>
      <c r="E67" s="48">
        <f t="shared" si="23"/>
        <v>-6.3592510000000004</v>
      </c>
      <c r="F67" s="48">
        <f t="shared" si="23"/>
        <v>-3.047193</v>
      </c>
      <c r="G67" s="48">
        <f t="shared" si="23"/>
        <v>-1.2491208859337417</v>
      </c>
      <c r="H67" s="48">
        <f t="shared" si="23"/>
        <v>-0.6066348254706333</v>
      </c>
      <c r="I67" s="48">
        <f t="shared" si="23"/>
        <v>-0.60778562028332295</v>
      </c>
      <c r="J67" s="48">
        <f t="shared" si="23"/>
        <v>-0.66984617220719578</v>
      </c>
      <c r="K67" s="48">
        <f t="shared" si="23"/>
        <v>-1.2703680191044362</v>
      </c>
      <c r="L67" s="48">
        <f t="shared" si="23"/>
        <v>-1.0988347507767009</v>
      </c>
      <c r="M67" s="48">
        <f t="shared" si="23"/>
        <v>-0.92481797498683194</v>
      </c>
      <c r="N67" s="48">
        <f t="shared" si="23"/>
        <v>-0.38867141398271832</v>
      </c>
      <c r="O67" s="48">
        <f t="shared" si="23"/>
        <v>-0.26707335941856836</v>
      </c>
      <c r="P67" s="48">
        <f t="shared" ref="P67:T67" si="24">SUM(P68:P71)</f>
        <v>-0.20438798629170751</v>
      </c>
      <c r="Q67" s="48">
        <f t="shared" si="24"/>
        <v>-0.1514550568655979</v>
      </c>
      <c r="R67" s="48">
        <f t="shared" si="24"/>
        <v>-0.10719303328498486</v>
      </c>
      <c r="S67" s="48">
        <f t="shared" si="24"/>
        <v>-0.17118100030667605</v>
      </c>
      <c r="T67" s="48">
        <f t="shared" si="24"/>
        <v>-0.16982322979893705</v>
      </c>
      <c r="U67" s="48">
        <f t="shared" ref="U67:W67" si="25">SUM(U68:U71)</f>
        <v>-0.18479748597307966</v>
      </c>
      <c r="V67" s="48">
        <f t="shared" si="25"/>
        <v>-0.21843912596305648</v>
      </c>
      <c r="W67" s="48">
        <f t="shared" si="25"/>
        <v>-0.10695452607048006</v>
      </c>
    </row>
    <row r="68" spans="2:23" outlineLevel="1" x14ac:dyDescent="0.2">
      <c r="B68" s="79" t="s">
        <v>115</v>
      </c>
      <c r="C68" s="34"/>
      <c r="D68" s="34">
        <f t="shared" ref="D68:E68" si="26">C57*D36/100*(1/(1+D33/100))</f>
        <v>2.3625639231606503</v>
      </c>
      <c r="E68" s="34">
        <f t="shared" si="26"/>
        <v>2.4603547187935546</v>
      </c>
      <c r="F68" s="34">
        <f>E57*F36/100*(1/(1+F33/100))</f>
        <v>2.5334362592575936</v>
      </c>
      <c r="G68" s="34">
        <f>F57*G36/100*(1/(1+G33/100))</f>
        <v>2.5711183275558871</v>
      </c>
      <c r="H68" s="34">
        <f t="shared" ref="H68:W68" si="27">G57*H36/100*(1/(1+H33/100))</f>
        <v>2.680720573241647</v>
      </c>
      <c r="I68" s="34">
        <f t="shared" si="27"/>
        <v>2.7444976609721845</v>
      </c>
      <c r="J68" s="34">
        <f>I57*J36/100*(1/(1+J33/100))</f>
        <v>2.7858968276705949</v>
      </c>
      <c r="K68" s="34">
        <f t="shared" si="27"/>
        <v>2.784353305778851</v>
      </c>
      <c r="L68" s="34">
        <f>K57*L36/100*(1/(1+L33/100))</f>
        <v>2.7796294843734448</v>
      </c>
      <c r="M68" s="34">
        <f t="shared" si="27"/>
        <v>2.7732179552945038</v>
      </c>
      <c r="N68" s="34">
        <f t="shared" si="27"/>
        <v>2.778139026213978</v>
      </c>
      <c r="O68" s="34">
        <f t="shared" si="27"/>
        <v>2.7934591969364937</v>
      </c>
      <c r="P68" s="34">
        <f t="shared" si="27"/>
        <v>2.8067975424877942</v>
      </c>
      <c r="Q68" s="34">
        <f t="shared" si="27"/>
        <v>2.8201211398314552</v>
      </c>
      <c r="R68" s="34">
        <f t="shared" si="27"/>
        <v>2.8338001362185397</v>
      </c>
      <c r="S68" s="34">
        <f t="shared" si="27"/>
        <v>2.8445121240357389</v>
      </c>
      <c r="T68" s="34">
        <f t="shared" si="27"/>
        <v>2.8548542341760266</v>
      </c>
      <c r="U68" s="34">
        <f t="shared" si="27"/>
        <v>2.86495388986271</v>
      </c>
      <c r="V68" s="34">
        <f t="shared" si="27"/>
        <v>2.8747684139445586</v>
      </c>
      <c r="W68" s="34">
        <f t="shared" si="27"/>
        <v>2.8894396981188826</v>
      </c>
    </row>
    <row r="69" spans="2:23" outlineLevel="1" x14ac:dyDescent="0.2">
      <c r="B69" s="79" t="s">
        <v>116</v>
      </c>
      <c r="C69" s="34"/>
      <c r="D69" s="34">
        <f t="shared" ref="D69:W69" si="28">-C57*(D24/100)*(1/(1+D33/100))</f>
        <v>-6.1210609631417761</v>
      </c>
      <c r="E69" s="34">
        <f t="shared" si="28"/>
        <v>-2.5733939372555574</v>
      </c>
      <c r="F69" s="34">
        <f t="shared" si="28"/>
        <v>-2.1891864353317834</v>
      </c>
      <c r="G69" s="34">
        <f t="shared" si="28"/>
        <v>-1.405472675863759</v>
      </c>
      <c r="H69" s="34">
        <f t="shared" si="28"/>
        <v>-0.85868713759186033</v>
      </c>
      <c r="I69" s="34">
        <f t="shared" si="28"/>
        <v>-0.92655794651606871</v>
      </c>
      <c r="J69" s="34">
        <f t="shared" si="28"/>
        <v>-1.0468899671416847</v>
      </c>
      <c r="K69" s="34">
        <f t="shared" si="28"/>
        <v>-1.6809574480771934</v>
      </c>
      <c r="L69" s="34">
        <f t="shared" si="28"/>
        <v>-1.5583829072732454</v>
      </c>
      <c r="M69" s="34">
        <f t="shared" si="28"/>
        <v>-1.4309916694787275</v>
      </c>
      <c r="N69" s="34">
        <f t="shared" si="28"/>
        <v>-0.9509276213453387</v>
      </c>
      <c r="O69" s="34">
        <f t="shared" si="28"/>
        <v>-0.87803952434948385</v>
      </c>
      <c r="P69" s="34">
        <f t="shared" si="28"/>
        <v>-0.89774763359816812</v>
      </c>
      <c r="Q69" s="34">
        <f t="shared" si="28"/>
        <v>-0.91900099066675267</v>
      </c>
      <c r="R69" s="34">
        <f t="shared" si="28"/>
        <v>-0.94191637941338047</v>
      </c>
      <c r="S69" s="34">
        <f t="shared" si="28"/>
        <v>-1.0635734168453266</v>
      </c>
      <c r="T69" s="34">
        <f t="shared" si="28"/>
        <v>-1.1160328922458913</v>
      </c>
      <c r="U69" s="34">
        <f t="shared" si="28"/>
        <v>-1.1797588732720548</v>
      </c>
      <c r="V69" s="34">
        <f t="shared" si="28"/>
        <v>-1.2576307449500248</v>
      </c>
      <c r="W69" s="34">
        <f t="shared" si="28"/>
        <v>-1.192017840192201</v>
      </c>
    </row>
    <row r="70" spans="2:23" outlineLevel="1" x14ac:dyDescent="0.2">
      <c r="B70" s="79" t="s">
        <v>117</v>
      </c>
      <c r="C70" s="34"/>
      <c r="D70" s="34">
        <f t="shared" ref="D70:W70" si="29">-C57*D42/100*(1/(1+D42/100))</f>
        <v>-4.6474060312447243</v>
      </c>
      <c r="E70" s="34">
        <f t="shared" si="29"/>
        <v>-6.2463275395389601</v>
      </c>
      <c r="F70" s="34">
        <f t="shared" si="29"/>
        <v>-3.3915006112475261</v>
      </c>
      <c r="G70" s="34">
        <f t="shared" si="29"/>
        <v>-2.4148044341436945</v>
      </c>
      <c r="H70" s="34">
        <f t="shared" si="29"/>
        <v>-2.42866826112042</v>
      </c>
      <c r="I70" s="34">
        <f t="shared" si="29"/>
        <v>-2.4257253347394387</v>
      </c>
      <c r="J70" s="34">
        <f t="shared" si="29"/>
        <v>-2.408853032736106</v>
      </c>
      <c r="K70" s="34">
        <f t="shared" si="29"/>
        <v>-2.3737638768060938</v>
      </c>
      <c r="L70" s="34">
        <f t="shared" si="29"/>
        <v>-2.3200813278769004</v>
      </c>
      <c r="M70" s="34">
        <f t="shared" si="29"/>
        <v>-2.2670442608026082</v>
      </c>
      <c r="N70" s="34">
        <f t="shared" si="29"/>
        <v>-2.2158828188513575</v>
      </c>
      <c r="O70" s="34">
        <f t="shared" si="29"/>
        <v>-2.1824930320055782</v>
      </c>
      <c r="P70" s="34">
        <f t="shared" si="29"/>
        <v>-2.1134378951813337</v>
      </c>
      <c r="Q70" s="34">
        <f t="shared" si="29"/>
        <v>-2.0525752060303004</v>
      </c>
      <c r="R70" s="34">
        <f t="shared" si="29"/>
        <v>-1.9990767900901441</v>
      </c>
      <c r="S70" s="34">
        <f t="shared" si="29"/>
        <v>-1.9521197074970884</v>
      </c>
      <c r="T70" s="34">
        <f t="shared" si="29"/>
        <v>-1.9086445717290723</v>
      </c>
      <c r="U70" s="34">
        <f t="shared" si="29"/>
        <v>-1.8699925025637349</v>
      </c>
      <c r="V70" s="34">
        <f t="shared" si="29"/>
        <v>-1.8355767949575903</v>
      </c>
      <c r="W70" s="34">
        <f t="shared" si="29"/>
        <v>-1.8043763839971616</v>
      </c>
    </row>
    <row r="71" spans="2:23" outlineLevel="1" x14ac:dyDescent="0.2">
      <c r="B71" s="79" t="s">
        <v>118</v>
      </c>
      <c r="C71" s="49"/>
      <c r="D71" s="49">
        <f>'Baseline NFPC'!D70</f>
        <v>1.0712258511347272E-6</v>
      </c>
      <c r="E71" s="49">
        <f>'Baseline NFPC'!E70</f>
        <v>1.157580009625292E-4</v>
      </c>
      <c r="F71" s="49">
        <f>'Baseline NFPC'!F70</f>
        <v>5.778732171579648E-5</v>
      </c>
      <c r="G71" s="49">
        <f>'Baseline NFPC'!G70</f>
        <v>3.7896517824709264E-5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0.81180839999999999</v>
      </c>
      <c r="E72" s="50">
        <f>'Input data'!E16</f>
        <v>1.2174830000000001</v>
      </c>
      <c r="F72" s="50">
        <f>'Input data'!F16</f>
        <v>0.45447110000000002</v>
      </c>
      <c r="G72" s="50">
        <f>'Input data'!G16</f>
        <v>0.94000099999999998</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0.81181420000000004</v>
      </c>
      <c r="E73" s="34">
        <f t="shared" si="30"/>
        <v>1.217482</v>
      </c>
      <c r="F73" s="34">
        <f t="shared" si="30"/>
        <v>0.45447080000000001</v>
      </c>
      <c r="G73" s="34">
        <f t="shared" si="30"/>
        <v>0.94</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-5.8000000000557606E-6</v>
      </c>
      <c r="E74" s="49">
        <f t="shared" ref="E74:T74" si="31">+E72-E73</f>
        <v>1.000000000139778E-6</v>
      </c>
      <c r="F74" s="49">
        <f t="shared" si="31"/>
        <v>3.000000000086267E-7</v>
      </c>
      <c r="G74" s="49">
        <f t="shared" si="31"/>
        <v>1.0000000000287557E-6</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-4.7358868046140392</v>
      </c>
      <c r="E77" s="78">
        <f t="shared" ref="E77:T77" si="33">E59-E68</f>
        <v>-3.636221191098254</v>
      </c>
      <c r="F77" s="78">
        <f t="shared" si="33"/>
        <v>-2.9820083201233079</v>
      </c>
      <c r="G77" s="78">
        <f>G59-G68</f>
        <v>-2.3493374451479871</v>
      </c>
      <c r="H77" s="78">
        <f t="shared" si="33"/>
        <v>-2.0494929644175564</v>
      </c>
      <c r="I77" s="78">
        <f t="shared" si="33"/>
        <v>-1.5514372512779877</v>
      </c>
      <c r="J77" s="78">
        <f t="shared" si="33"/>
        <v>-0.92983339264783726</v>
      </c>
      <c r="K77" s="78">
        <f t="shared" si="33"/>
        <v>-0.81040971576369714</v>
      </c>
      <c r="L77" s="78">
        <f t="shared" si="33"/>
        <v>-0.72695573936587454</v>
      </c>
      <c r="M77" s="78">
        <f t="shared" si="33"/>
        <v>-0.68645405529450798</v>
      </c>
      <c r="N77" s="78">
        <f t="shared" si="33"/>
        <v>-0.93020841674746624</v>
      </c>
      <c r="O77" s="78">
        <f t="shared" si="33"/>
        <v>-1.186980005719116</v>
      </c>
      <c r="P77" s="78">
        <f t="shared" si="33"/>
        <v>-1.4344015418734832</v>
      </c>
      <c r="Q77" s="78">
        <f t="shared" si="33"/>
        <v>-1.6668177392171428</v>
      </c>
      <c r="R77" s="78">
        <f t="shared" si="33"/>
        <v>-1.8826588455450959</v>
      </c>
      <c r="S77" s="78">
        <f t="shared" si="33"/>
        <v>-2.0821128442987034</v>
      </c>
      <c r="T77" s="78">
        <f t="shared" si="33"/>
        <v>-2.2776187315958438</v>
      </c>
      <c r="U77" s="78">
        <f t="shared" ref="U77:W77" si="34">U59-U68</f>
        <v>-2.4700992232311458</v>
      </c>
      <c r="V77" s="78">
        <f t="shared" si="34"/>
        <v>-2.6418958599558562</v>
      </c>
      <c r="W77" s="78">
        <f t="shared" si="34"/>
        <v>-2.8517020953726901</v>
      </c>
    </row>
    <row r="78" spans="2:23" x14ac:dyDescent="0.2">
      <c r="B78" s="26" t="s">
        <v>42</v>
      </c>
      <c r="D78" s="34">
        <f>D60-D68-D64-D65-D66</f>
        <v>-4.7573049231606497</v>
      </c>
      <c r="E78" s="34">
        <f t="shared" ref="E78:W78" si="35">E60-E68-E64-E65-E66</f>
        <v>-4.0912107187935547</v>
      </c>
      <c r="F78" s="34">
        <f t="shared" si="35"/>
        <v>-3.3823945592575937</v>
      </c>
      <c r="G78" s="34">
        <f t="shared" si="35"/>
        <v>-2.5600766275558873</v>
      </c>
      <c r="H78" s="34">
        <f t="shared" si="35"/>
        <v>-1.8096788732416471</v>
      </c>
      <c r="I78" s="34">
        <f t="shared" si="35"/>
        <v>-1.0134559609721845</v>
      </c>
      <c r="J78" s="34">
        <f t="shared" si="35"/>
        <v>-0.19485512767059499</v>
      </c>
      <c r="K78" s="34">
        <f t="shared" si="35"/>
        <v>-0.32042420577885367</v>
      </c>
      <c r="L78" s="34">
        <f t="shared" si="35"/>
        <v>-0.48196298437344931</v>
      </c>
      <c r="M78" s="34">
        <f t="shared" si="35"/>
        <v>-0.68645405529450776</v>
      </c>
      <c r="N78" s="34">
        <f t="shared" si="35"/>
        <v>-0.93020782621398279</v>
      </c>
      <c r="O78" s="34">
        <f t="shared" si="35"/>
        <v>-1.1869805969364995</v>
      </c>
      <c r="P78" s="34">
        <f t="shared" si="35"/>
        <v>-1.4344015424877958</v>
      </c>
      <c r="Q78" s="34">
        <f t="shared" si="35"/>
        <v>-1.6668177398314554</v>
      </c>
      <c r="R78" s="34">
        <f t="shared" si="35"/>
        <v>-1.8826594362185434</v>
      </c>
      <c r="S78" s="34">
        <f t="shared" si="35"/>
        <v>-2.0821140240357425</v>
      </c>
      <c r="T78" s="34">
        <f t="shared" si="35"/>
        <v>-2.2776187341760306</v>
      </c>
      <c r="U78" s="34">
        <f t="shared" si="35"/>
        <v>-2.4701009898627131</v>
      </c>
      <c r="V78" s="34">
        <f t="shared" si="35"/>
        <v>-2.6418982139445624</v>
      </c>
      <c r="W78" s="34">
        <f t="shared" si="35"/>
        <v>-2.8517020981188823</v>
      </c>
    </row>
    <row r="79" spans="2:23" x14ac:dyDescent="0.2">
      <c r="B79" s="35" t="s">
        <v>123</v>
      </c>
      <c r="C79" s="35"/>
      <c r="D79" s="285">
        <f>'Input data'!D45</f>
        <v>11.906308458666208</v>
      </c>
      <c r="E79" s="285">
        <f>'Input data'!E45</f>
        <v>6.0726167049401747</v>
      </c>
      <c r="F79" s="285">
        <f>'Input data'!F45</f>
        <v>3.8484919420358179</v>
      </c>
      <c r="G79" s="49">
        <f>'Input data'!G33+G42-(G$12-F$12)/'Input data'!$C$64*100</f>
        <v>2.4140040406875345</v>
      </c>
      <c r="H79" s="49">
        <f>'Input data'!H33+H42-(H$12-G$12)/'Input data'!$C$64*100</f>
        <v>2.0271727906875352</v>
      </c>
      <c r="I79" s="49">
        <f>'Input data'!I33+I42-(I$12-H$12)/'Input data'!$C$64*100</f>
        <v>1.876198540687535</v>
      </c>
      <c r="J79" s="49">
        <f>'Input data'!J33+J42-(J$12-I$12)/'Input data'!$C$64*100</f>
        <v>1.8711972906875356</v>
      </c>
      <c r="K79" s="49">
        <f>'Input data'!K33+K42-(K$12-J$12)/'Input data'!$C$64*100</f>
        <v>3.7878439999999998</v>
      </c>
      <c r="L79" s="49">
        <f>'Input data'!L33+L42-(L$12-K$12)/'Input data'!$C$64*100</f>
        <v>3.7416337500000001</v>
      </c>
      <c r="M79" s="49">
        <f>'Input data'!M33+M42-(M$12-L$12)/'Input data'!$C$64*100</f>
        <v>3.6832134999999999</v>
      </c>
      <c r="N79" s="49">
        <f>'Input data'!N33+N42-(N$12-M$12)/'Input data'!$C$64*100</f>
        <v>3.61907025</v>
      </c>
      <c r="O79" s="49">
        <f>'Input data'!O33+O42-(O$12-N$12)/'Input data'!$C$64*100</f>
        <v>3.5865229999999997</v>
      </c>
      <c r="P79" s="49">
        <f>'Input data'!P33+P42-(P$12-O$12)/'Input data'!$C$64*100</f>
        <v>3.6056159999999999</v>
      </c>
      <c r="Q79" s="49">
        <f>'Input data'!Q33+Q42-(Q$12-P$12)/'Input data'!$C$64*100</f>
        <v>3.6247079999999996</v>
      </c>
      <c r="R79" s="49">
        <f>'Input data'!R33+R42-(R$12-Q$12)/'Input data'!$C$64*100</f>
        <v>3.6438009999999998</v>
      </c>
      <c r="S79" s="49">
        <f>'Input data'!S33+S42-(S$12-R$12)/'Input data'!$C$64*100</f>
        <v>3.7872949999999999</v>
      </c>
      <c r="T79" s="49">
        <f>'Input data'!T33+T42-(T$12-S$12)/'Input data'!$C$64*100</f>
        <v>3.8433359999999999</v>
      </c>
      <c r="U79" s="49">
        <f>'Input data'!U33+U42-(U$12-T$12)/'Input data'!$C$64*100</f>
        <v>3.912655</v>
      </c>
      <c r="V79" s="49">
        <f>'Input data'!V33+V42-(V$12-U$12)/'Input data'!$C$64*100</f>
        <v>3.9992390000000002</v>
      </c>
      <c r="W79" s="49">
        <f>'Input data'!W33+W42-(W$12-V$12)/'Input data'!$C$64*100</f>
        <v>3.8933260000000001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2.047143165687535</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261</v>
      </c>
      <c r="F84" s="29">
        <f t="shared" ref="F84:W84" si="37">IF(F57&gt;90,1,0)</f>
        <v>1</v>
      </c>
      <c r="G84" s="29">
        <f t="shared" si="37"/>
        <v>1</v>
      </c>
      <c r="H84" s="29">
        <f t="shared" si="37"/>
        <v>1</v>
      </c>
      <c r="I84" s="29">
        <f t="shared" si="37"/>
        <v>1</v>
      </c>
      <c r="J84" s="29">
        <f t="shared" si="37"/>
        <v>1</v>
      </c>
      <c r="K84" s="29">
        <f t="shared" si="37"/>
        <v>1</v>
      </c>
      <c r="L84" s="29">
        <f t="shared" si="37"/>
        <v>1</v>
      </c>
      <c r="M84" s="29">
        <f t="shared" si="37"/>
        <v>1</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1</v>
      </c>
      <c r="O85" s="29">
        <f t="shared" si="38"/>
        <v>1</v>
      </c>
      <c r="P85" s="29">
        <f t="shared" si="38"/>
        <v>1</v>
      </c>
      <c r="Q85" s="29">
        <f t="shared" si="38"/>
        <v>1</v>
      </c>
      <c r="R85" s="29">
        <f t="shared" si="38"/>
        <v>1</v>
      </c>
      <c r="S85" s="29">
        <f t="shared" si="38"/>
        <v>1</v>
      </c>
      <c r="T85" s="29">
        <f t="shared" si="38"/>
        <v>1</v>
      </c>
      <c r="U85" s="29">
        <f t="shared" si="38"/>
        <v>1</v>
      </c>
      <c r="V85" s="29">
        <f t="shared" si="38"/>
        <v>1</v>
      </c>
      <c r="W85" s="29">
        <f t="shared" si="38"/>
        <v>1</v>
      </c>
    </row>
    <row r="86" spans="2:23" x14ac:dyDescent="0.2">
      <c r="B86" s="26" t="s">
        <v>263</v>
      </c>
      <c r="F86" s="29">
        <f t="shared" ref="F86:W86" si="39">IF(F57&gt;60,1,0)</f>
        <v>1</v>
      </c>
      <c r="G86" s="29">
        <f t="shared" si="39"/>
        <v>1</v>
      </c>
      <c r="H86" s="29">
        <f t="shared" si="39"/>
        <v>1</v>
      </c>
      <c r="I86" s="29">
        <f t="shared" si="39"/>
        <v>1</v>
      </c>
      <c r="J86" s="29">
        <f t="shared" si="39"/>
        <v>1</v>
      </c>
      <c r="K86" s="29">
        <f t="shared" si="39"/>
        <v>1</v>
      </c>
      <c r="L86" s="29">
        <f t="shared" si="39"/>
        <v>1</v>
      </c>
      <c r="M86" s="29">
        <f t="shared" si="39"/>
        <v>1</v>
      </c>
      <c r="N86" s="29">
        <f t="shared" si="39"/>
        <v>1</v>
      </c>
      <c r="O86" s="29">
        <f t="shared" si="39"/>
        <v>1</v>
      </c>
      <c r="P86" s="29">
        <f t="shared" si="39"/>
        <v>1</v>
      </c>
      <c r="Q86" s="29">
        <f t="shared" si="39"/>
        <v>1</v>
      </c>
      <c r="R86" s="29">
        <f t="shared" si="39"/>
        <v>1</v>
      </c>
      <c r="S86" s="29">
        <f t="shared" si="39"/>
        <v>1</v>
      </c>
      <c r="T86" s="29">
        <f t="shared" si="39"/>
        <v>1</v>
      </c>
      <c r="U86" s="29">
        <f t="shared" si="39"/>
        <v>1</v>
      </c>
      <c r="V86" s="29">
        <f t="shared" si="39"/>
        <v>1</v>
      </c>
      <c r="W86" s="29">
        <f t="shared" si="39"/>
        <v>1</v>
      </c>
    </row>
    <row r="87" spans="2:23" x14ac:dyDescent="0.2">
      <c r="B87" s="26" t="s">
        <v>264</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1</v>
      </c>
      <c r="J88" s="29">
        <f t="shared" si="41"/>
        <v>1</v>
      </c>
      <c r="K88" s="29">
        <f t="shared" si="41"/>
        <v>1</v>
      </c>
      <c r="L88" s="29">
        <f t="shared" si="41"/>
        <v>1</v>
      </c>
      <c r="M88" s="29">
        <f t="shared" si="41"/>
        <v>1</v>
      </c>
      <c r="N88" s="29">
        <f t="shared" si="41"/>
        <v>1</v>
      </c>
      <c r="O88" s="29">
        <f t="shared" si="41"/>
        <v>1</v>
      </c>
      <c r="P88" s="29">
        <f t="shared" si="41"/>
        <v>1</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2.5334362592575936</v>
      </c>
      <c r="G90" s="34">
        <f>F57*G36/100*(1/((1+'Input data'!G30/100)*(1+G42/100)))</f>
        <v>2.5548641067415803</v>
      </c>
      <c r="H90" s="34">
        <f>G57*H36/100*(1/((1+'Input data'!H30/100)*(1+H42/100)))</f>
        <v>2.6692954920569574</v>
      </c>
      <c r="I90" s="34">
        <f>H57*I36/100*(1/((1+'Input data'!I30/100)*(1+I42/100)))</f>
        <v>2.7427417989055267</v>
      </c>
      <c r="J90" s="34">
        <f>I57*J36/100*(1/((1+'Input data'!J30/100)*(1+J42/100)))</f>
        <v>2.7827382510949965</v>
      </c>
      <c r="K90" s="34">
        <f>J57*K36/100*(1/((1+'Input data'!K30/100)*(1+K42/100)))</f>
        <v>2.7959218571000486</v>
      </c>
      <c r="L90" s="34">
        <f>K57*L36/100*(1/((1+'Input data'!L30/100)*(1+L42/100)))</f>
        <v>2.7911307052258429</v>
      </c>
      <c r="M90" s="34">
        <f>L57*M36/100*(1/((1+'Input data'!M30/100)*(1+M42/100)))</f>
        <v>2.7846454190988883</v>
      </c>
      <c r="N90" s="34">
        <f>M57*N36/100*(1/((1+'Input data'!N30/100)*(1+N42/100)))</f>
        <v>2.778139026213978</v>
      </c>
      <c r="O90" s="34">
        <f>N57*O36/100*(1/((1+'Input data'!O30/100)*(1+O42/100)))</f>
        <v>2.7934591969364937</v>
      </c>
      <c r="P90" s="34">
        <f>O57*P36/100*(1/((1+'Input data'!P30/100)*(1+P42/100)))</f>
        <v>2.8067975424877942</v>
      </c>
      <c r="Q90" s="34">
        <f>P57*Q36/100*(1/((1+'Input data'!Q30/100)*(1+Q42/100)))</f>
        <v>2.8201211398314552</v>
      </c>
      <c r="R90" s="34">
        <f>Q57*R36/100*(1/((1+'Input data'!R30/100)*(1+R42/100)))</f>
        <v>2.8338001362185397</v>
      </c>
      <c r="S90" s="34">
        <f>R57*S36/100*(1/((1+'Input data'!S30/100)*(1+S42/100)))</f>
        <v>2.8445121240357389</v>
      </c>
      <c r="T90" s="34">
        <f>S57*T36/100*(1/((1+'Input data'!T30/100)*(1+T42/100)))</f>
        <v>2.8548542341760266</v>
      </c>
      <c r="U90" s="34">
        <f>T57*U36/100*(1/((1+'Input data'!U30/100)*(1+U42/100)))</f>
        <v>2.86495388986271</v>
      </c>
      <c r="V90" s="34">
        <f>U57*V36/100*(1/((1+'Input data'!V30/100)*(1+V42/100)))</f>
        <v>2.8747684139445586</v>
      </c>
      <c r="W90" s="34">
        <f>V57*W36/100*(1/((1+'Input data'!W30/100)*(1+W42/100)))</f>
        <v>2.8894396981188826</v>
      </c>
    </row>
    <row r="91" spans="2:23" x14ac:dyDescent="0.2">
      <c r="B91" s="32" t="s">
        <v>260</v>
      </c>
      <c r="F91" s="34"/>
      <c r="G91" s="34">
        <f>G90-F90</f>
        <v>2.1427847483986628E-2</v>
      </c>
      <c r="H91" s="34">
        <f t="shared" ref="H91:W91" si="42">H90-G90</f>
        <v>0.11443138531537711</v>
      </c>
      <c r="I91" s="34">
        <f t="shared" si="42"/>
        <v>7.3446306848569343E-2</v>
      </c>
      <c r="J91" s="34">
        <f t="shared" si="42"/>
        <v>3.9996452189469789E-2</v>
      </c>
      <c r="K91" s="34">
        <f t="shared" si="42"/>
        <v>1.3183606005052084E-2</v>
      </c>
      <c r="L91" s="34">
        <f t="shared" si="42"/>
        <v>-4.7911518742056458E-3</v>
      </c>
      <c r="M91" s="34">
        <f t="shared" si="42"/>
        <v>-6.485286126954648E-3</v>
      </c>
      <c r="N91" s="34">
        <f t="shared" si="42"/>
        <v>-6.5063928849102837E-3</v>
      </c>
      <c r="O91" s="34">
        <f t="shared" si="42"/>
        <v>1.532017072251568E-2</v>
      </c>
      <c r="P91" s="34">
        <f t="shared" si="42"/>
        <v>1.3338345551300534E-2</v>
      </c>
      <c r="Q91" s="34">
        <f t="shared" si="42"/>
        <v>1.3323597343660953E-2</v>
      </c>
      <c r="R91" s="34">
        <f t="shared" si="42"/>
        <v>1.3678996387084474E-2</v>
      </c>
      <c r="S91" s="34">
        <f t="shared" si="42"/>
        <v>1.0711987817199287E-2</v>
      </c>
      <c r="T91" s="34">
        <f t="shared" si="42"/>
        <v>1.034211014028763E-2</v>
      </c>
      <c r="U91" s="34">
        <f t="shared" si="42"/>
        <v>1.0099655686683473E-2</v>
      </c>
      <c r="V91" s="34">
        <f t="shared" si="42"/>
        <v>9.8145240818485746E-3</v>
      </c>
      <c r="W91" s="34">
        <f t="shared" si="42"/>
        <v>1.4671284174323951E-2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116.8408</v>
      </c>
      <c r="D100" s="110">
        <f>D57</f>
        <v>111.62002928145338</v>
      </c>
      <c r="E100" s="110">
        <f>E57</f>
        <v>107.65412775375809</v>
      </c>
      <c r="F100" s="110">
        <f>F57</f>
        <v>105.5099779146238</v>
      </c>
      <c r="G100" s="110">
        <f>G57</f>
        <v>104.97907714628217</v>
      </c>
      <c r="H100" s="110">
        <f t="shared" ref="H100:W100" si="45">G100*(1+H113/100)*H43-H60-H61+H62+H63+H64+H65+H66+H72</f>
        <v>103.74121471198744</v>
      </c>
      <c r="I100" s="110">
        <f t="shared" si="45"/>
        <v>101.94036868200993</v>
      </c>
      <c r="J100" s="110">
        <f t="shared" si="45"/>
        <v>99.414459074779984</v>
      </c>
      <c r="K100" s="110">
        <f t="shared" si="45"/>
        <v>96.170147465660406</v>
      </c>
      <c r="L100" s="110">
        <f t="shared" si="45"/>
        <v>93.018638969876136</v>
      </c>
      <c r="M100" s="110">
        <f t="shared" si="45"/>
        <v>90.007057094889305</v>
      </c>
      <c r="N100" s="110">
        <f t="shared" si="45"/>
        <v>87.770455071440082</v>
      </c>
      <c r="O100" s="110">
        <f t="shared" si="45"/>
        <v>85.896902520804105</v>
      </c>
      <c r="P100" s="110">
        <f t="shared" si="45"/>
        <v>84.320118533898082</v>
      </c>
      <c r="Q100" s="110">
        <f t="shared" si="45"/>
        <v>83.015360076418162</v>
      </c>
      <c r="R100" s="110">
        <f t="shared" si="45"/>
        <v>81.957025752459714</v>
      </c>
      <c r="S100" s="110">
        <f t="shared" si="45"/>
        <v>81.023445472416014</v>
      </c>
      <c r="T100" s="110">
        <f t="shared" si="45"/>
        <v>80.276386740036912</v>
      </c>
      <c r="U100" s="110">
        <f t="shared" si="45"/>
        <v>79.69673458743226</v>
      </c>
      <c r="V100" s="110">
        <f t="shared" si="45"/>
        <v>79.245422907480503</v>
      </c>
      <c r="W100" s="110">
        <f t="shared" si="45"/>
        <v>79.100730778663817</v>
      </c>
    </row>
    <row r="101" spans="2:23" x14ac:dyDescent="0.2">
      <c r="B101" s="26" t="s">
        <v>127</v>
      </c>
      <c r="C101" s="34"/>
      <c r="D101" s="254">
        <f>'Input data'!C66*$D$100</f>
        <v>92.157855454020762</v>
      </c>
      <c r="E101" s="34">
        <f t="shared" ref="E101:W101" si="46">IF(E100=0,0,IF(E95=1,D100*E43/((1+E24/100)*(1+E42/100))-E102-E103,IF(AND(E95=0,E96=1),(1-D106-E39*D107)*D100*E43/((1+E24/100)*(1+E42/100)),E100)))</f>
        <v>86.713038149766305</v>
      </c>
      <c r="F101" s="34">
        <f t="shared" si="46"/>
        <v>87.011336345534914</v>
      </c>
      <c r="G101" s="34">
        <f t="shared" si="46"/>
        <v>86.674141426534916</v>
      </c>
      <c r="H101" s="34">
        <f t="shared" si="46"/>
        <v>86.664679004720313</v>
      </c>
      <c r="I101" s="34">
        <f t="shared" si="46"/>
        <v>85.537704013200184</v>
      </c>
      <c r="J101" s="34">
        <f t="shared" si="46"/>
        <v>83.896599959812335</v>
      </c>
      <c r="K101" s="34">
        <f t="shared" si="46"/>
        <v>81.214145865555579</v>
      </c>
      <c r="L101" s="34">
        <f t="shared" si="46"/>
        <v>78.581019983837692</v>
      </c>
      <c r="M101" s="34">
        <f t="shared" si="46"/>
        <v>76.031522667930489</v>
      </c>
      <c r="N101" s="34">
        <f t="shared" si="46"/>
        <v>73.900854726530568</v>
      </c>
      <c r="O101" s="34">
        <f t="shared" si="46"/>
        <v>72.070116162044926</v>
      </c>
      <c r="P101" s="34">
        <f t="shared" si="46"/>
        <v>70.522824928517295</v>
      </c>
      <c r="Q101" s="34">
        <f t="shared" si="46"/>
        <v>69.220552209134524</v>
      </c>
      <c r="R101" s="34">
        <f t="shared" si="46"/>
        <v>68.14276150330322</v>
      </c>
      <c r="S101" s="34">
        <f t="shared" si="46"/>
        <v>67.185654682024392</v>
      </c>
      <c r="T101" s="34">
        <f t="shared" si="46"/>
        <v>66.391118935101957</v>
      </c>
      <c r="U101" s="34">
        <f t="shared" si="46"/>
        <v>65.742057806441792</v>
      </c>
      <c r="V101" s="34">
        <f t="shared" si="46"/>
        <v>65.220208959904866</v>
      </c>
      <c r="W101" s="34">
        <f t="shared" si="46"/>
        <v>64.927306746894587</v>
      </c>
    </row>
    <row r="102" spans="2:23" x14ac:dyDescent="0.2">
      <c r="B102" s="105" t="s">
        <v>128</v>
      </c>
      <c r="C102" s="34"/>
      <c r="D102" s="254">
        <f>'Input data'!C67*$D$100</f>
        <v>6.6572250300998093</v>
      </c>
      <c r="E102" s="34">
        <f t="shared" ref="E102:W102" si="47">IF(E100=0,0,IF(E95=1,E39*D100*D107*E43/((1+E24/100)*(1+E42/100)),IF(AND(E95=0,E96=1),(E39*D100*D107*E43/((1+E24/100)*(1+E42/100)))*(1-ABS(E100-D100*E43/((1+E24/100)*(1+E42/100)))/((E39*D100*D107*E43/((1+E24/100)*(1+E42/100)))+(D106*D100*E43/((1+E24/100)*(1+E42/100))))),0)))</f>
        <v>9.0521709577617173</v>
      </c>
      <c r="F102" s="34">
        <f t="shared" si="47"/>
        <v>8.1018922360868402</v>
      </c>
      <c r="G102" s="34">
        <f t="shared" si="47"/>
        <v>8.0987933404520014</v>
      </c>
      <c r="H102" s="34">
        <f t="shared" si="47"/>
        <v>8.1262213509330703</v>
      </c>
      <c r="I102" s="34">
        <f t="shared" si="47"/>
        <v>8.048509850189669</v>
      </c>
      <c r="J102" s="34">
        <f t="shared" si="47"/>
        <v>7.9215339019974236</v>
      </c>
      <c r="K102" s="34">
        <f t="shared" si="47"/>
        <v>7.6948352225601857</v>
      </c>
      <c r="L102" s="34">
        <f t="shared" si="47"/>
        <v>7.4710860077188768</v>
      </c>
      <c r="M102" s="34">
        <f t="shared" si="47"/>
        <v>7.2536055276542992</v>
      </c>
      <c r="N102" s="34">
        <f t="shared" si="47"/>
        <v>7.0745634331951903</v>
      </c>
      <c r="O102" s="34">
        <f t="shared" si="47"/>
        <v>6.9229490779067548</v>
      </c>
      <c r="P102" s="34">
        <f t="shared" si="47"/>
        <v>6.7743185637791186</v>
      </c>
      <c r="Q102" s="34">
        <f t="shared" si="47"/>
        <v>6.649224166795447</v>
      </c>
      <c r="R102" s="34">
        <f t="shared" si="47"/>
        <v>6.5456931809935845</v>
      </c>
      <c r="S102" s="34">
        <f t="shared" si="47"/>
        <v>6.4537549111712851</v>
      </c>
      <c r="T102" s="34">
        <f t="shared" si="47"/>
        <v>6.377432979010762</v>
      </c>
      <c r="U102" s="34">
        <f t="shared" si="47"/>
        <v>6.3150851241514765</v>
      </c>
      <c r="V102" s="34">
        <f t="shared" si="47"/>
        <v>6.2649570935150818</v>
      </c>
      <c r="W102" s="34">
        <f t="shared" si="47"/>
        <v>6.2368213388714091</v>
      </c>
    </row>
    <row r="103" spans="2:23" x14ac:dyDescent="0.2">
      <c r="B103" s="105" t="s">
        <v>129</v>
      </c>
      <c r="C103" s="34"/>
      <c r="D103" s="254">
        <f>'Input data'!C68*$D$100</f>
        <v>7.2591429731261297</v>
      </c>
      <c r="E103" s="34">
        <f t="shared" ref="E103:W103" si="48">IF(E100=0,0,IF(E95=1,(1-D107)*D100*E43/((1+E24/100)*(1+E42/100)),IF(AND(E95=0,E96=1),(D106*D100*E43/((1+E24/100)*(1+E42/100)))*(1-ABS(E100-D100*E43/((1+E24/100)*(1+E42/100)))/((E39*D100*D107*E43/((1+E24/100)*(1+E42/100)))+(D106*D100*E43/((1+E24/100)*(1+E42/100))))),0)))</f>
        <v>7.0350986971308531</v>
      </c>
      <c r="F103" s="34">
        <f t="shared" si="48"/>
        <v>6.9602121255570193</v>
      </c>
      <c r="G103" s="34">
        <f t="shared" si="48"/>
        <v>6.9167660376294169</v>
      </c>
      <c r="H103" s="34">
        <f t="shared" si="48"/>
        <v>6.9008213919165078</v>
      </c>
      <c r="I103" s="34">
        <f t="shared" si="48"/>
        <v>6.8027175673420741</v>
      </c>
      <c r="J103" s="34">
        <f t="shared" si="48"/>
        <v>6.6664918203224062</v>
      </c>
      <c r="K103" s="34">
        <f t="shared" si="48"/>
        <v>6.450756661780944</v>
      </c>
      <c r="L103" s="34">
        <f t="shared" si="48"/>
        <v>6.2395772389536797</v>
      </c>
      <c r="M103" s="34">
        <f t="shared" si="48"/>
        <v>6.035474844010011</v>
      </c>
      <c r="N103" s="34">
        <f t="shared" si="48"/>
        <v>5.8648284949668437</v>
      </c>
      <c r="O103" s="34">
        <f t="shared" si="48"/>
        <v>5.716857275133342</v>
      </c>
      <c r="P103" s="34">
        <f t="shared" si="48"/>
        <v>5.5885734997281862</v>
      </c>
      <c r="Q103" s="34">
        <f t="shared" si="48"/>
        <v>5.4787659612710646</v>
      </c>
      <c r="R103" s="34">
        <f t="shared" si="48"/>
        <v>5.3859122226178293</v>
      </c>
      <c r="S103" s="34">
        <f t="shared" si="48"/>
        <v>5.3019230349216286</v>
      </c>
      <c r="T103" s="34">
        <f t="shared" si="48"/>
        <v>5.2302160943283456</v>
      </c>
      <c r="U103" s="34">
        <f t="shared" si="48"/>
        <v>5.1694924336078492</v>
      </c>
      <c r="V103" s="34">
        <f t="shared" si="48"/>
        <v>5.1183609941047159</v>
      </c>
      <c r="W103" s="34">
        <f t="shared" si="48"/>
        <v>5.0849005975251353</v>
      </c>
    </row>
    <row r="104" spans="2:23" x14ac:dyDescent="0.2">
      <c r="B104" s="105" t="s">
        <v>130</v>
      </c>
      <c r="C104" s="34"/>
      <c r="D104" s="254">
        <f>'Input data'!C69*$D$100</f>
        <v>5.1662759242534131</v>
      </c>
      <c r="E104" s="34">
        <f>IF(E100=0,0,IF(E95=1,'Input data'!$C$58*(E100-D100*E43/((1+E24/100)*(1+E42/100))),0))</f>
        <v>4.5481690823205021</v>
      </c>
      <c r="F104" s="34">
        <f>IF(F100=0,0,IF(F95=1,'Input data'!$C$58*(F100-E100*F43/((1+F24/100)*(1+F42/100))),0))</f>
        <v>3.2201343356475656</v>
      </c>
      <c r="G104" s="34">
        <f>IF(G100=0,0,IF(G95=1,'Input data'!$C$58*(G100-F100*G43/((1+G24/100)*(1+G42/100))),0))</f>
        <v>3.0822403661795215</v>
      </c>
      <c r="H104" s="34">
        <f>IF(H100=0,0,IF(H95=1,'Input data'!$C$58*(H100-G100*H43/((1+H24/100)*(1+H42/100))),0))</f>
        <v>1.9204339330566222</v>
      </c>
      <c r="I104" s="34">
        <f>IF(I100=0,0,IF(I95=1,'Input data'!$C$58*(I100-H100*I43/((1+I24/100)*(1+I42/100))),0))</f>
        <v>1.4537413858403254</v>
      </c>
      <c r="J104" s="34">
        <f>IF(J100=0,0,IF(J95=1,'Input data'!$C$58*(J100-I100*J43/((1+J24/100)*(1+J42/100))),0))</f>
        <v>0.87128066811271765</v>
      </c>
      <c r="K104" s="34">
        <f>IF(K100=0,0,IF(K95=1,'Input data'!$C$58*(K100-J100*K43/((1+K24/100)*(1+K42/100))),0))</f>
        <v>0.75937724347039826</v>
      </c>
      <c r="L104" s="34">
        <f>IF(L100=0,0,IF(L95=1,'Input data'!$C$58*(L100-K100*L43/((1+L24/100)*(1+L42/100))),0))</f>
        <v>0.68117846411112071</v>
      </c>
      <c r="M104" s="34">
        <f>IF(M100=0,0,IF(M95=1,'Input data'!$C$58*(M100-L100*M43/((1+M24/100)*(1+M42/100))),0))</f>
        <v>0.6432272196877431</v>
      </c>
      <c r="N104" s="34">
        <f>IF(N100=0,0,IF(N95=1,'Input data'!$C$58*(N100-M100*N43/((1+N24/100)*(1+N42/100))),0))</f>
        <v>0.87163207649478736</v>
      </c>
      <c r="O104" s="34">
        <f>IF(O100=0,0,IF(O95=1,'Input data'!$C$58*(O100-N100*O43/((1+O24/100)*(1+O42/100))),0))</f>
        <v>1.1122344503829547</v>
      </c>
      <c r="P104" s="34">
        <f>IF(P100=0,0,IF(P95=1,'Input data'!$C$58*(P100-O100*P43/((1+P24/100)*(1+P42/100))),0))</f>
        <v>1.3440755554998605</v>
      </c>
      <c r="Q104" s="34">
        <f>IF(Q100=0,0,IF(Q95=1,'Input data'!$C$58*(Q100-P100*Q43/((1+Q24/100)*(1+Q42/100))),0))</f>
        <v>1.5618562259973336</v>
      </c>
      <c r="R104" s="34">
        <f>IF(R100=0,0,IF(R95=1,'Input data'!$C$58*(R100-Q100*R43/((1+R24/100)*(1+R42/100))),0))</f>
        <v>1.7641055588504919</v>
      </c>
      <c r="S104" s="34">
        <f>IF(S100=0,0,IF(S95=1,'Input data'!$C$58*(S100-R100*S43/((1+S24/100)*(1+S42/100))),0))</f>
        <v>1.9509996999578034</v>
      </c>
      <c r="T104" s="34">
        <f>IF(T100=0,0,IF(T95=1,'Input data'!$C$58*(T100-S100*T43/((1+T24/100)*(1+T42/100))),0))</f>
        <v>2.1341943469247822</v>
      </c>
      <c r="U104" s="34">
        <f>IF(U100=0,0,IF(U95=1,'Input data'!$C$58*(U100-T100*U43/((1+U24/100)*(1+U42/100))),0))</f>
        <v>2.3145541110252119</v>
      </c>
      <c r="V104" s="34">
        <f>IF(V100=0,0,IF(V95=1,'Input data'!$C$58*(V100-U100*V43/((1+V24/100)*(1+V42/100))),0))</f>
        <v>2.4755325073793868</v>
      </c>
      <c r="W104" s="34">
        <f>IF(W100=0,0,IF(W95=1,'Input data'!$C$58*(W100-V100*W43/((1+W24/100)*(1+W42/100))),0))</f>
        <v>2.6721269923845545</v>
      </c>
    </row>
    <row r="105" spans="2:23" x14ac:dyDescent="0.2">
      <c r="B105" s="107" t="s">
        <v>131</v>
      </c>
      <c r="C105" s="49"/>
      <c r="D105" s="255">
        <f>'Input data'!C70*$D$100</f>
        <v>0.37952439985328523</v>
      </c>
      <c r="E105" s="49">
        <f>IF(E100=0,0,IF(E95=1,'Input data'!$C$57*(E100-D100*E43/((1+E24/100)*(1+E42/100))),0))</f>
        <v>0.30565086677871672</v>
      </c>
      <c r="F105" s="49">
        <f>IF(F100=0,0,IF(F95=1,'Input data'!$C$57*(F100-E100*F43/((1+F24/100)*(1+F42/100))),0))</f>
        <v>0.21640287179746234</v>
      </c>
      <c r="G105" s="49">
        <f>IF(G100=0,0,IF(G95=1,'Input data'!$C$57*(G100-F100*G43/((1+G24/100)*(1+G42/100))),0))</f>
        <v>0.20713597548630724</v>
      </c>
      <c r="H105" s="49">
        <f>IF(H100=0,0,IF(H95=1,'Input data'!$C$57*(H100-G100*H43/((1+H24/100)*(1+H42/100))),0))</f>
        <v>0.12905903136093061</v>
      </c>
      <c r="I105" s="49">
        <f>IF(I100=0,0,IF(I95=1,'Input data'!$C$57*(I100-H100*I43/((1+I24/100)*(1+I42/100))),0))</f>
        <v>9.7695865437677373E-2</v>
      </c>
      <c r="J105" s="49">
        <f>IF(J100=0,0,IF(J95=1,'Input data'!$C$57*(J100-I100*J43/((1+J24/100)*(1+J42/100))),0))</f>
        <v>5.8552724535104544E-2</v>
      </c>
      <c r="K105" s="49">
        <f>IF(K100=0,0,IF(K95=1,'Input data'!$C$57*(K100-J100*K43/((1+K24/100)*(1+K42/100))),0))</f>
        <v>5.1032472293298929E-2</v>
      </c>
      <c r="L105" s="49">
        <f>IF(L100=0,0,IF(L95=1,'Input data'!$C$57*(L100-K100*L43/((1+L24/100)*(1+L42/100))),0))</f>
        <v>4.5777275254756528E-2</v>
      </c>
      <c r="M105" s="49">
        <f>IF(M100=0,0,IF(M95=1,'Input data'!$C$57*(M100-L100*M43/((1+M24/100)*(1+M42/100))),0))</f>
        <v>4.3226835606761299E-2</v>
      </c>
      <c r="N105" s="49">
        <f>IF(N100=0,0,IF(N95=1,'Input data'!$C$57*(N100-M100*N43/((1+N24/100)*(1+N42/100))),0))</f>
        <v>5.8576340252688666E-2</v>
      </c>
      <c r="O105" s="49">
        <f>IF(O100=0,0,IF(O95=1,'Input data'!$C$57*(O100-N100*O43/((1+O24/100)*(1+O42/100))),0))</f>
        <v>7.474555533613815E-2</v>
      </c>
      <c r="P105" s="49">
        <f>IF(P100=0,0,IF(P95=1,'Input data'!$C$57*(P100-O100*P43/((1+P24/100)*(1+P42/100))),0))</f>
        <v>9.0325986373623546E-2</v>
      </c>
      <c r="Q105" s="49">
        <f>IF(Q100=0,0,IF(Q95=1,'Input data'!$C$57*(Q100-P100*Q43/((1+Q24/100)*(1+Q42/100))),0))</f>
        <v>0.1049615132197893</v>
      </c>
      <c r="R105" s="49">
        <f>IF(R100=0,0,IF(R95=1,'Input data'!$C$57*(R100-Q100*R43/((1+R24/100)*(1+R42/100))),0))</f>
        <v>0.11855328669458837</v>
      </c>
      <c r="S105" s="49">
        <f>IF(S100=0,0,IF(S95=1,'Input data'!$C$57*(S100-R100*S43/((1+S24/100)*(1+S42/100))),0))</f>
        <v>0.13111314434090268</v>
      </c>
      <c r="T105" s="49">
        <f>IF(T100=0,0,IF(T95=1,'Input data'!$C$57*(T100-S100*T43/((1+T24/100)*(1+T42/100))),0))</f>
        <v>0.14342438467106866</v>
      </c>
      <c r="U105" s="49">
        <f>IF(U100=0,0,IF(U95=1,'Input data'!$C$57*(U100-T100*U43/((1+U24/100)*(1+U42/100))),0))</f>
        <v>0.15554511220593309</v>
      </c>
      <c r="V105" s="49">
        <f>IF(V100=0,0,IF(V95=1,'Input data'!$C$57*(V100-U100*V43/((1+V24/100)*(1+V42/100))),0))</f>
        <v>0.16636335257645107</v>
      </c>
      <c r="W105" s="49">
        <f>IF(W100=0,0,IF(W95=1,'Input data'!$C$57*(W100-V100*W43/((1+W24/100)*(1+W42/100))),0))</f>
        <v>0.17957510298813256</v>
      </c>
    </row>
    <row r="106" spans="2:23" x14ac:dyDescent="0.2">
      <c r="B106" s="26" t="s">
        <v>73</v>
      </c>
      <c r="C106" s="36"/>
      <c r="D106" s="260">
        <f>'Baseline NFPC'!$D$93</f>
        <v>6.8434607321399721E-2</v>
      </c>
      <c r="E106" s="36">
        <f t="shared" ref="E106:G106" si="49">IF(E100&lt;&gt;0,(E103+E105)/(E101+E102+E103+E104+E105),0)</f>
        <v>6.8188277747234932E-2</v>
      </c>
      <c r="F106" s="36">
        <f t="shared" si="49"/>
        <v>6.8018353706429835E-2</v>
      </c>
      <c r="G106" s="36">
        <f t="shared" si="49"/>
        <v>6.7860208022108875E-2</v>
      </c>
      <c r="H106" s="36">
        <f t="shared" ref="H106:W106" si="50">IF(H100&lt;&gt;0,(H103+H105)/(H101+H102+H103+H104+H105),0)</f>
        <v>6.7763621650220818E-2</v>
      </c>
      <c r="I106" s="36">
        <f t="shared" si="50"/>
        <v>6.7690685466370221E-2</v>
      </c>
      <c r="J106" s="36">
        <f t="shared" si="50"/>
        <v>6.7646543646119967E-2</v>
      </c>
      <c r="K106" s="36">
        <f t="shared" si="50"/>
        <v>6.760714530874401E-2</v>
      </c>
      <c r="L106" s="36">
        <f t="shared" si="50"/>
        <v>6.7570914644794297E-2</v>
      </c>
      <c r="M106" s="36">
        <f t="shared" si="50"/>
        <v>6.7535834142519999E-2</v>
      </c>
      <c r="N106" s="36">
        <f t="shared" si="50"/>
        <v>6.7487457258803354E-2</v>
      </c>
      <c r="O106" s="36">
        <f t="shared" si="50"/>
        <v>6.7425048639754639E-2</v>
      </c>
      <c r="P106" s="36">
        <f t="shared" si="50"/>
        <v>6.7349282529990728E-2</v>
      </c>
      <c r="Q106" s="36">
        <f t="shared" si="50"/>
        <v>6.7261377525205737E-2</v>
      </c>
      <c r="R106" s="36">
        <f t="shared" si="50"/>
        <v>6.7162826600588491E-2</v>
      </c>
      <c r="S106" s="36">
        <f t="shared" si="50"/>
        <v>6.7055111611023482E-2</v>
      </c>
      <c r="T106" s="36">
        <f t="shared" si="50"/>
        <v>6.6939242001525887E-2</v>
      </c>
      <c r="U106" s="36">
        <f>IF(U100&lt;&gt;0,(U103+U105)/(U101+U102+U103+U104+U105),0)</f>
        <v>6.6816257571656046E-2</v>
      </c>
      <c r="V106" s="36">
        <f t="shared" si="50"/>
        <v>6.6688070462455784E-2</v>
      </c>
      <c r="W106" s="34">
        <f t="shared" si="50"/>
        <v>6.6554071608315377E-2</v>
      </c>
    </row>
    <row r="107" spans="2:23" x14ac:dyDescent="0.2">
      <c r="B107" s="35" t="s">
        <v>74</v>
      </c>
      <c r="C107" s="108"/>
      <c r="D107" s="261">
        <f>'Baseline NFPC'!$D$94</f>
        <v>0.93156539267860028</v>
      </c>
      <c r="E107" s="108">
        <f t="shared" ref="E107:G107" si="51">IF(E100&lt;&gt;0,(E101+E102+E104)/(E101+E102+E103+E104+E105),1)</f>
        <v>0.9318117222527651</v>
      </c>
      <c r="F107" s="108">
        <f t="shared" si="51"/>
        <v>0.93198164629357017</v>
      </c>
      <c r="G107" s="108">
        <f t="shared" si="51"/>
        <v>0.9321397919778911</v>
      </c>
      <c r="H107" s="108">
        <f t="shared" ref="H107:W107" si="52">IF(H100&lt;&gt;0,(H101+H102+H104)/(H101+H102+H103+H104+H105),1)</f>
        <v>0.93223637834977924</v>
      </c>
      <c r="I107" s="108">
        <f t="shared" si="52"/>
        <v>0.93230931453362986</v>
      </c>
      <c r="J107" s="108">
        <f t="shared" si="52"/>
        <v>0.93235345635388001</v>
      </c>
      <c r="K107" s="108">
        <f t="shared" si="52"/>
        <v>0.93239285469125599</v>
      </c>
      <c r="L107" s="108">
        <f t="shared" si="52"/>
        <v>0.93242908535520574</v>
      </c>
      <c r="M107" s="108">
        <f t="shared" si="52"/>
        <v>0.93246416585748004</v>
      </c>
      <c r="N107" s="108">
        <f t="shared" si="52"/>
        <v>0.93251254274119666</v>
      </c>
      <c r="O107" s="108">
        <f t="shared" si="52"/>
        <v>0.93257495136024549</v>
      </c>
      <c r="P107" s="108">
        <f t="shared" si="52"/>
        <v>0.93265071747000927</v>
      </c>
      <c r="Q107" s="108">
        <f t="shared" si="52"/>
        <v>0.93273862247479422</v>
      </c>
      <c r="R107" s="108">
        <f t="shared" si="52"/>
        <v>0.93283717339941141</v>
      </c>
      <c r="S107" s="108">
        <f t="shared" si="52"/>
        <v>0.93294488838897649</v>
      </c>
      <c r="T107" s="108">
        <f t="shared" si="52"/>
        <v>0.93306075799847421</v>
      </c>
      <c r="U107" s="108">
        <f t="shared" si="52"/>
        <v>0.93318374242834412</v>
      </c>
      <c r="V107" s="108">
        <f t="shared" si="52"/>
        <v>0.93331192953754416</v>
      </c>
      <c r="W107" s="49">
        <f t="shared" si="52"/>
        <v>0.93344592839168461</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1.94496</v>
      </c>
      <c r="D109" s="115">
        <f>'Baseline NFPC'!D96</f>
        <v>2.2273139999999998</v>
      </c>
      <c r="E109" s="115">
        <f>'Baseline NFPC'!E96</f>
        <v>2.3933339999999999</v>
      </c>
      <c r="F109" s="115">
        <f>'Baseline NFPC'!F96</f>
        <v>2.4819740000000001</v>
      </c>
      <c r="G109" s="115">
        <f>'Baseline NFPC'!G96</f>
        <v>2.5283959999999999</v>
      </c>
      <c r="H109" s="115">
        <f>H111</f>
        <v>2.6361246787580406</v>
      </c>
      <c r="I109" s="115">
        <f t="shared" ref="I109:V109" si="53">I111</f>
        <v>2.73386480148549</v>
      </c>
      <c r="J109" s="115">
        <f t="shared" si="53"/>
        <v>2.8287631783892073</v>
      </c>
      <c r="K109" s="115">
        <f t="shared" si="53"/>
        <v>2.919841613953964</v>
      </c>
      <c r="L109" s="115">
        <f t="shared" si="53"/>
        <v>3.0117876140919071</v>
      </c>
      <c r="M109" s="115">
        <f t="shared" si="53"/>
        <v>3.1047909003314378</v>
      </c>
      <c r="N109" s="115">
        <f t="shared" si="53"/>
        <v>3.1991376501506701</v>
      </c>
      <c r="O109" s="115">
        <f t="shared" si="53"/>
        <v>3.2976764870007291</v>
      </c>
      <c r="P109" s="115">
        <f t="shared" si="53"/>
        <v>3.386346459134653</v>
      </c>
      <c r="Q109" s="115">
        <f t="shared" si="53"/>
        <v>3.4667137957330088</v>
      </c>
      <c r="R109" s="115">
        <f t="shared" si="53"/>
        <v>3.5389604010391911</v>
      </c>
      <c r="S109" s="115">
        <f t="shared" si="53"/>
        <v>3.6033241767476585</v>
      </c>
      <c r="T109" s="115">
        <f t="shared" si="53"/>
        <v>3.660127341840929</v>
      </c>
      <c r="U109" s="115">
        <f t="shared" si="53"/>
        <v>3.7098002215836239</v>
      </c>
      <c r="V109" s="115">
        <f t="shared" si="53"/>
        <v>3.752788578730923</v>
      </c>
      <c r="W109" s="115">
        <f>W111</f>
        <v>3.7894773848470824</v>
      </c>
    </row>
    <row r="110" spans="2:23" x14ac:dyDescent="0.2">
      <c r="B110" s="33" t="s">
        <v>133</v>
      </c>
      <c r="C110" s="34"/>
      <c r="D110" s="34"/>
      <c r="E110" s="266">
        <f>((E36*D100)-(E38*(D103+D105)))/(D101+D102+D104)</f>
        <v>2.3171786788845403</v>
      </c>
      <c r="F110" s="266">
        <f>((F36*E100)-(F38*(E103+E105)))/(E101+E102+E104)</f>
        <v>2.4027780950578612</v>
      </c>
      <c r="G110" s="266">
        <f>((G36*F100)-(G38*(F103+F105)))/(F101+F102+F104)</f>
        <v>2.5073785716419161</v>
      </c>
      <c r="H110" s="34">
        <f t="shared" ref="H110:W110" si="54">IF(G100&gt;0,(G110*G101+H37*(G104+G102))/(G101+G102+G104),H37)</f>
        <v>2.6238239707161251</v>
      </c>
      <c r="I110" s="34">
        <f t="shared" si="54"/>
        <v>2.7295078805118211</v>
      </c>
      <c r="J110" s="34">
        <f t="shared" si="54"/>
        <v>2.8321208187286797</v>
      </c>
      <c r="K110" s="34">
        <f t="shared" si="54"/>
        <v>2.9306238906160917</v>
      </c>
      <c r="L110" s="34">
        <f t="shared" si="54"/>
        <v>3.0300484076584624</v>
      </c>
      <c r="M110" s="34">
        <f t="shared" si="54"/>
        <v>3.130598767742458</v>
      </c>
      <c r="N110" s="34">
        <f t="shared" si="54"/>
        <v>3.2325818131391877</v>
      </c>
      <c r="O110" s="34">
        <f t="shared" si="54"/>
        <v>3.3390431355369272</v>
      </c>
      <c r="P110" s="34">
        <f t="shared" si="54"/>
        <v>3.4367077265927848</v>
      </c>
      <c r="Q110" s="34">
        <f t="shared" si="54"/>
        <v>3.5254395805273986</v>
      </c>
      <c r="R110" s="34">
        <f t="shared" si="54"/>
        <v>3.6054318148635169</v>
      </c>
      <c r="S110" s="34">
        <f t="shared" si="54"/>
        <v>3.6769391443030894</v>
      </c>
      <c r="T110" s="34">
        <f t="shared" si="54"/>
        <v>3.740307844070371</v>
      </c>
      <c r="U110" s="34">
        <f t="shared" si="54"/>
        <v>3.7960003861066274</v>
      </c>
      <c r="V110" s="34">
        <f t="shared" si="54"/>
        <v>3.8444964263444175</v>
      </c>
      <c r="W110" s="34">
        <f t="shared" si="54"/>
        <v>3.8862123203226617</v>
      </c>
    </row>
    <row r="111" spans="2:23" x14ac:dyDescent="0.2">
      <c r="B111" s="35" t="s">
        <v>63</v>
      </c>
      <c r="C111" s="49"/>
      <c r="D111" s="49"/>
      <c r="E111" s="49">
        <f t="shared" ref="E111:W111" si="55">(E110*(D101+D102+D104)+E38*(D103+D105))/D100</f>
        <v>2.3933340000000003</v>
      </c>
      <c r="F111" s="49">
        <f t="shared" si="55"/>
        <v>2.4819740000000001</v>
      </c>
      <c r="G111" s="49">
        <f t="shared" si="55"/>
        <v>2.5283959999999999</v>
      </c>
      <c r="H111" s="49">
        <f t="shared" si="55"/>
        <v>2.6361246787580406</v>
      </c>
      <c r="I111" s="49">
        <f t="shared" si="55"/>
        <v>2.73386480148549</v>
      </c>
      <c r="J111" s="49">
        <f t="shared" si="55"/>
        <v>2.8287631783892073</v>
      </c>
      <c r="K111" s="49">
        <f t="shared" si="55"/>
        <v>2.919841613953964</v>
      </c>
      <c r="L111" s="49">
        <f t="shared" si="55"/>
        <v>3.0117876140919071</v>
      </c>
      <c r="M111" s="49">
        <f t="shared" si="55"/>
        <v>3.1047909003314378</v>
      </c>
      <c r="N111" s="49">
        <f t="shared" si="55"/>
        <v>3.1991376501506701</v>
      </c>
      <c r="O111" s="49">
        <f t="shared" si="55"/>
        <v>3.2976764870007291</v>
      </c>
      <c r="P111" s="49">
        <f t="shared" si="55"/>
        <v>3.386346459134653</v>
      </c>
      <c r="Q111" s="49">
        <f t="shared" si="55"/>
        <v>3.4667137957330088</v>
      </c>
      <c r="R111" s="49">
        <f t="shared" si="55"/>
        <v>3.5389604010391911</v>
      </c>
      <c r="S111" s="49">
        <f t="shared" si="55"/>
        <v>3.6033241767476585</v>
      </c>
      <c r="T111" s="49">
        <f t="shared" si="55"/>
        <v>3.660127341840929</v>
      </c>
      <c r="U111" s="49">
        <f t="shared" si="55"/>
        <v>3.7098002215836239</v>
      </c>
      <c r="V111" s="49">
        <f t="shared" si="55"/>
        <v>3.752788578730923</v>
      </c>
      <c r="W111" s="49">
        <f t="shared" si="55"/>
        <v>3.7894773848470824</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-6.6690978814935242</v>
      </c>
      <c r="D113" s="115">
        <f t="shared" si="56"/>
        <v>-7.194321736264941</v>
      </c>
      <c r="E113" s="115">
        <f t="shared" si="56"/>
        <v>-5.697334787438213</v>
      </c>
      <c r="F113" s="115">
        <f t="shared" si="56"/>
        <v>-2.8305935414681183</v>
      </c>
      <c r="G113" s="115">
        <f t="shared" si="56"/>
        <v>-1.1839247881014203</v>
      </c>
      <c r="H113" s="115">
        <f t="shared" si="56"/>
        <v>-0.57786260077836715</v>
      </c>
      <c r="I113" s="115">
        <f t="shared" si="56"/>
        <v>-0.58586707507780611</v>
      </c>
      <c r="J113" s="115">
        <f t="shared" si="56"/>
        <v>-0.65709608555241106</v>
      </c>
      <c r="K113" s="115">
        <f t="shared" si="56"/>
        <v>-1.2778503559012999</v>
      </c>
      <c r="L113" s="115">
        <f t="shared" si="56"/>
        <v>-1.142594432611288</v>
      </c>
      <c r="M113" s="115">
        <f t="shared" si="56"/>
        <v>-0.99422866774724339</v>
      </c>
      <c r="N113" s="115">
        <f t="shared" si="56"/>
        <v>-0.43182326645004876</v>
      </c>
      <c r="O113" s="115">
        <f t="shared" si="56"/>
        <v>-0.30428617374855804</v>
      </c>
      <c r="P113" s="115">
        <f t="shared" si="56"/>
        <v>-0.23794570036120843</v>
      </c>
      <c r="Q113" s="115">
        <f t="shared" si="56"/>
        <v>-0.17961912233876998</v>
      </c>
      <c r="R113" s="115">
        <f t="shared" si="56"/>
        <v>-0.12912433697368497</v>
      </c>
      <c r="S113" s="115">
        <f t="shared" si="56"/>
        <v>-0.20886677955309629</v>
      </c>
      <c r="T113" s="115">
        <f t="shared" si="56"/>
        <v>-0.20959764029874206</v>
      </c>
      <c r="U113" s="115">
        <f t="shared" si="56"/>
        <v>-0.23020154926942649</v>
      </c>
      <c r="V113" s="115">
        <f t="shared" si="56"/>
        <v>-0.27408792479873823</v>
      </c>
      <c r="W113" s="115">
        <f t="shared" si="56"/>
        <v>-0.13496618750507006</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-2.1969370000000001</v>
      </c>
      <c r="D12" s="2">
        <f>'Input data'!D13</f>
        <v>-2.3947409999999998</v>
      </c>
      <c r="E12" s="2">
        <f>'Input data'!E13</f>
        <v>-1.6308560000000001</v>
      </c>
      <c r="F12" s="2">
        <f>'Input data'!F13</f>
        <v>-0.84895830000000005</v>
      </c>
      <c r="G12" s="3">
        <f>IF(G10&lt;=$C$6,F12+'Criteria results'!$F$6,F12)</f>
        <v>1.1041699999999932E-2</v>
      </c>
      <c r="H12" s="3">
        <f>IF(H10&lt;=$C$6,G12+'Criteria results'!$F$6,G12)</f>
        <v>0.87104169999999992</v>
      </c>
      <c r="I12" s="3">
        <f>IF(I10&lt;=$C$6,H12+'Criteria results'!$F$6,H12)</f>
        <v>1.7310417</v>
      </c>
      <c r="J12" s="3">
        <f>IF(J10&lt;=$C$6,I12+'Criteria results'!$F$6,I12)</f>
        <v>2.5910416999999999</v>
      </c>
      <c r="K12" s="119">
        <f>IF(K10&lt;=$C$6,J12+'Criteria results'!$F$6,J12)</f>
        <v>2.5910416999999999</v>
      </c>
      <c r="L12" s="119">
        <f>IF(L10&lt;=$C$6,K12+'Criteria results'!$F$6,K12)</f>
        <v>2.5910416999999999</v>
      </c>
      <c r="M12" s="119">
        <f>IF(M10&lt;=$C$6,L12+'Criteria results'!$F$6,L12)</f>
        <v>2.5910416999999999</v>
      </c>
      <c r="N12" s="119">
        <f>M12</f>
        <v>2.5910416999999999</v>
      </c>
      <c r="O12" s="119">
        <f t="shared" ref="O12:W12" si="0">N12</f>
        <v>2.5910416999999999</v>
      </c>
      <c r="P12" s="119">
        <f t="shared" si="0"/>
        <v>2.5910416999999999</v>
      </c>
      <c r="Q12" s="119">
        <f t="shared" si="0"/>
        <v>2.5910416999999999</v>
      </c>
      <c r="R12" s="119">
        <f t="shared" si="0"/>
        <v>2.5910416999999999</v>
      </c>
      <c r="S12" s="119">
        <f t="shared" si="0"/>
        <v>2.5910416999999999</v>
      </c>
      <c r="T12" s="119">
        <f t="shared" si="0"/>
        <v>2.5910416999999999</v>
      </c>
      <c r="U12" s="119">
        <f t="shared" si="0"/>
        <v>2.5910416999999999</v>
      </c>
      <c r="V12" s="119">
        <f t="shared" si="0"/>
        <v>2.5910416999999999</v>
      </c>
      <c r="W12" s="119">
        <f t="shared" si="0"/>
        <v>2.5910416999999999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0.86</v>
      </c>
      <c r="H13" s="263">
        <f t="shared" ref="H13:W13" si="1">H12-G12</f>
        <v>0.86</v>
      </c>
      <c r="I13" s="263">
        <f t="shared" si="1"/>
        <v>0.8600000000000001</v>
      </c>
      <c r="J13" s="263">
        <f t="shared" si="1"/>
        <v>0.85999999999999988</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-9.2449400000000001E-2</v>
      </c>
      <c r="D14" s="2">
        <f>'Input data'!D14</f>
        <v>-6.6846100000000006E-2</v>
      </c>
      <c r="E14" s="2">
        <f>'Input data'!E14</f>
        <v>0</v>
      </c>
      <c r="F14" s="2">
        <f>'Input data'!F14</f>
        <v>-0.18809000000000001</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1.03254E-2</v>
      </c>
      <c r="D15" s="2">
        <f>'Input data'!D15</f>
        <v>0.81181420000000004</v>
      </c>
      <c r="E15" s="2">
        <f>'Input data'!E15</f>
        <v>1.217482</v>
      </c>
      <c r="F15" s="2">
        <f>'Input data'!F15</f>
        <v>0.45447080000000001</v>
      </c>
      <c r="G15" s="2">
        <f>'Input data'!G15</f>
        <v>0.94</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22.788010000000003</v>
      </c>
      <c r="E18" s="101">
        <f>'Input data'!E20</f>
        <v>23.134040000000002</v>
      </c>
      <c r="F18" s="101">
        <f>'Input data'!F20</f>
        <v>23.198610000000002</v>
      </c>
      <c r="G18" s="101">
        <f>'Input data'!G20</f>
        <v>23.248739999999998</v>
      </c>
      <c r="H18" s="101">
        <f>'Input data'!H20</f>
        <v>23.324060000000006</v>
      </c>
      <c r="I18" s="101">
        <f>'Input data'!I20</f>
        <v>23.427720000000001</v>
      </c>
      <c r="J18" s="101">
        <f>'Input data'!J20</f>
        <v>23.512549999999997</v>
      </c>
      <c r="K18" s="101">
        <f>'Input data'!K20</f>
        <v>23.64058</v>
      </c>
      <c r="L18" s="101">
        <f>'Input data'!L20</f>
        <v>23.807760000000002</v>
      </c>
      <c r="M18" s="101">
        <f>'Input data'!M20</f>
        <v>24.019580000000001</v>
      </c>
      <c r="N18" s="101">
        <f>'Input data'!N20</f>
        <v>24.259330000000002</v>
      </c>
      <c r="O18" s="101">
        <f>'Input data'!O20</f>
        <v>24.501700000000003</v>
      </c>
      <c r="P18" s="101">
        <f>'Input data'!P20</f>
        <v>24.736699999999999</v>
      </c>
      <c r="Q18" s="101">
        <f>'Input data'!Q20</f>
        <v>24.956709999999998</v>
      </c>
      <c r="R18" s="101">
        <f>'Input data'!R20</f>
        <v>25.159790000000001</v>
      </c>
      <c r="S18" s="101">
        <f>'Input data'!S20</f>
        <v>25.349450000000001</v>
      </c>
      <c r="T18" s="101">
        <f>'Input data'!T20</f>
        <v>25.535530000000001</v>
      </c>
      <c r="U18" s="101">
        <f>'Input data'!U20</f>
        <v>25.718830000000001</v>
      </c>
      <c r="V18" s="101">
        <f>'Input data'!V20</f>
        <v>25.881730000000001</v>
      </c>
      <c r="W18" s="101">
        <f>'Input data'!W20</f>
        <v>26.077779999999997</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0.55616920000000003</v>
      </c>
      <c r="D19" s="101">
        <f>'Input data'!D26</f>
        <v>0.54702360000000005</v>
      </c>
      <c r="E19" s="101">
        <f>'Input data'!E26</f>
        <v>0.54794100000000001</v>
      </c>
      <c r="F19" s="101">
        <f>'Input data'!F26</f>
        <v>0.54885830000000002</v>
      </c>
      <c r="G19" s="101">
        <f>'Input data'!G26</f>
        <v>0.54977569999999998</v>
      </c>
      <c r="H19" s="101">
        <f>'Input data'!H26</f>
        <v>0.55069310000000005</v>
      </c>
      <c r="I19" s="101">
        <f>'Input data'!I26</f>
        <v>0.5516105</v>
      </c>
      <c r="J19" s="101">
        <f>'Input data'!J26</f>
        <v>0.55252780000000001</v>
      </c>
      <c r="K19" s="101">
        <f>'Input data'!K26</f>
        <v>0.55344519999999997</v>
      </c>
      <c r="L19" s="101">
        <f>'Input data'!L26</f>
        <v>0.55436260000000004</v>
      </c>
      <c r="M19" s="101">
        <f>'Input data'!M26</f>
        <v>0.55528</v>
      </c>
      <c r="N19" s="101">
        <f>'Input data'!N26</f>
        <v>0.55619730000000001</v>
      </c>
      <c r="O19" s="101">
        <f>'Input data'!O26</f>
        <v>0.55711469999999996</v>
      </c>
      <c r="P19" s="101">
        <f>'Input data'!P26</f>
        <v>0.55803210000000003</v>
      </c>
      <c r="Q19" s="101">
        <f>'Input data'!Q26</f>
        <v>0.55894949999999999</v>
      </c>
      <c r="R19" s="101">
        <f>'Input data'!R26</f>
        <v>0.5598668</v>
      </c>
      <c r="S19" s="101">
        <f>'Input data'!S26</f>
        <v>0.56078419999999995</v>
      </c>
      <c r="T19" s="101">
        <f>'Input data'!T26</f>
        <v>0.56170160000000002</v>
      </c>
      <c r="U19" s="101">
        <f>'Input data'!U26</f>
        <v>0.56261899999999998</v>
      </c>
      <c r="V19" s="101">
        <f>'Input data'!V26</f>
        <v>0.56353629999999999</v>
      </c>
      <c r="W19" s="101">
        <f>'Input data'!W26</f>
        <v>0.56445369999999995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1127.8630000000001</v>
      </c>
      <c r="D23" s="100">
        <f>'Baseline NFPC'!D22</f>
        <v>1192.94800365224</v>
      </c>
      <c r="E23" s="100">
        <f>'Baseline NFPC'!E22</f>
        <v>1222.8109994507863</v>
      </c>
      <c r="F23" s="100">
        <f>'Baseline NFPC'!F22</f>
        <v>1249.0368348338773</v>
      </c>
      <c r="G23" s="34">
        <f>IF(AND(G50&gt;1,F50&gt;1),IF(AND(G50&gt;0,F50&gt;0),G27*(G51/100+1),0)+IF(G50&gt;0,F23*(1+G52/100),0)-F23*(1+'Input data'!G30/100),IF(G50=1,G27,F23*(1+G52/100)))</f>
        <v>1266.3000102451149</v>
      </c>
      <c r="H23" s="34">
        <f>IF(AND(H50&gt;1,G50&gt;1),IF(AND(H50&gt;0,G50&gt;0),H27*(H51/100+1),0)+IF(H50&gt;0,G23*(1+H52/100),0)-G23*(1+'Input data'!H30/100),IF(H50=1,H27,G23*(1+H52/100)))</f>
        <v>1276.9926754143514</v>
      </c>
      <c r="I23" s="34">
        <f>IF(AND(I50&gt;1,H50&gt;1),IF(AND(I50&gt;0,H50&gt;0),I27*(I51/100+1),0)+IF(I50&gt;0,H23*(1+I52/100),0)-H23*(1+'Input data'!I30/100),IF(I50=1,I27,H23*(1+I52/100)))</f>
        <v>1288.7789121456826</v>
      </c>
      <c r="J23" s="34">
        <f>IF(AND(J50&gt;1,I50&gt;1),IF(AND(J50&gt;0,I50&gt;0),J27*(J51/100+1),0)+IF(J50&gt;0,I23*(1+J52/100),0)-I23*(1+'Input data'!J30/100),IF(J50=1,J27,I23*(1+J52/100)))</f>
        <v>1302.4786109935392</v>
      </c>
      <c r="K23" s="34">
        <f>IF(AND(K50&gt;1,J50&gt;1),IF(AND(K50&gt;0,J50&gt;0),K27*(K51/100+1),0)+IF(K50&gt;0,J23*(1+K52/100),0)-J23*(1+'Input data'!K30/100),IF(K50=1,K27,J23*(1+K52/100)))</f>
        <v>1325.4381028479847</v>
      </c>
      <c r="L23" s="34">
        <f>IF(AND(L50&gt;1,K50&gt;1),IF(AND(L50&gt;0,K50&gt;0),L27*(L51/100+1),0)+IF(L50&gt;0,K23*(1+L52/100),0)-K23*(1+'Input data'!L30/100),IF(L50=1,L27,K23*(1+L52/100)))</f>
        <v>1347.8186685915744</v>
      </c>
      <c r="M23" s="34">
        <f>IF(AND(M50&gt;1,L50&gt;1),IF(AND(M50&gt;0,L50&gt;0),M27*(M51/100+1),0)+IF(M50&gt;0,L23*(1+M52/100),0)-L23*(1+'Input data'!M30/100),IF(M50=1,M27,L23*(1+M52/100)))</f>
        <v>1369.4118645742244</v>
      </c>
      <c r="N23" s="34">
        <f>IF(AND(N50&gt;1,M50&gt;1),IF(AND(N50&gt;0,M50&gt;0),N27*(N51/100+1),0)+IF(N50&gt;0,M23*(1+N52/100),0)-M23*(1+'Input data'!N30/100),IF(N50=1,N27,M23*(1+N52/100)))</f>
        <v>1384.40734900899</v>
      </c>
      <c r="O23" s="34">
        <f>IF(AND(O50&gt;1,N50&gt;1),IF(AND(O50&gt;0,N50&gt;0),O27*(O51/100+1),0)+IF(O50&gt;0,N23*(1+O52/100),0)-N23*(1+'Input data'!O30/100),IF(O50=1,O27,N23*(1+O52/100)))</f>
        <v>1398.7570772833053</v>
      </c>
      <c r="P23" s="34">
        <f>IF(AND(P50&gt;1,O50&gt;1),IF(AND(P50&gt;0,O50&gt;0),P27*(P51/100+1),0)+IF(P50&gt;0,O23*(1+P52/100),0)-O23*(1+'Input data'!P30/100),IF(P50=1,P27,O23*(1+P52/100)))</f>
        <v>1413.9072250009224</v>
      </c>
      <c r="Q23" s="34">
        <f>IF(AND(Q50&gt;1,P50&gt;1),IF(AND(Q50&gt;0,P50&gt;0),Q27*(Q51/100+1),0)+IF(Q50&gt;0,P23*(1+Q52/100),0)-P23*(1+'Input data'!Q30/100),IF(Q50=1,Q27,P23*(1+Q52/100)))</f>
        <v>1429.8802480343359</v>
      </c>
      <c r="R23" s="34">
        <f>IF(AND(R50&gt;1,Q50&gt;1),IF(AND(R50&gt;0,Q50&gt;0),R27*(R51/100+1),0)+IF(R50&gt;0,Q23*(1+R52/100),0)-Q23*(1+'Input data'!R30/100),IF(R50=1,R27,Q23*(1+R52/100)))</f>
        <v>1446.6999579895687</v>
      </c>
      <c r="S23" s="34">
        <f>IF(AND(S50&gt;1,R50&gt;1),IF(AND(S50&gt;0,R50&gt;0),S27*(S51/100+1),0)+IF(S50&gt;0,R23*(1+S52/100),0)-R23*(1+'Input data'!S30/100),IF(S50=1,S27,R23*(1+S52/100)))</f>
        <v>1466.191288655564</v>
      </c>
      <c r="T23" s="34">
        <f>IF(AND(T50&gt;1,S50&gt;1),IF(AND(T50&gt;0,S50&gt;0),T27*(T51/100+1),0)+IF(T50&gt;0,S23*(1+T52/100),0)-S23*(1+'Input data'!T30/100),IF(T50=1,T27,S23*(1+T52/100)))</f>
        <v>1487.1700521186858</v>
      </c>
      <c r="U23" s="34">
        <f>IF(AND(U50&gt;1,T50&gt;1),IF(AND(U50&gt;0,T50&gt;0),U27*(U51/100+1),0)+IF(U50&gt;0,T23*(1+U52/100),0)-T23*(1+'Input data'!U30/100),IF(U50=1,U27,T23*(1+U52/100)))</f>
        <v>1509.8889243934811</v>
      </c>
      <c r="V23" s="34">
        <f>IF(AND(V50&gt;1,U50&gt;1),IF(AND(V50&gt;0,U50&gt;0),V27*(V51/100+1),0)+IF(V50&gt;0,U23*(1+V52/100),0)-U23*(1+'Input data'!V30/100),IF(V50=1,V27,U23*(1+V52/100)))</f>
        <v>1534.6773748208186</v>
      </c>
      <c r="W23" s="34">
        <f>IF(AND(W50&gt;1,V50&gt;1),IF(AND(W50&gt;0,V50&gt;0),W27*(W51/100+1),0)+IF(W50&gt;0,V23*(1+W52/100),0)-V23*(1+'Input data'!W30/100),IF(W50=1,W27,V23*(1+W52/100)))</f>
        <v>1558.6693238504149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6.4031729999999998</v>
      </c>
      <c r="D24" s="100">
        <f>'Baseline NFPC'!D23</f>
        <v>5.7706480000000004</v>
      </c>
      <c r="E24" s="100">
        <f>'Baseline NFPC'!E23</f>
        <v>2.5032939999999999</v>
      </c>
      <c r="F24" s="100">
        <f>'Baseline NFPC'!F23</f>
        <v>2.144717</v>
      </c>
      <c r="G24" s="34">
        <f t="shared" ref="G24:S24" si="2">100*(G23/F23-1)</f>
        <v>1.3821190000000039</v>
      </c>
      <c r="H24" s="34">
        <f t="shared" si="2"/>
        <v>0.84440220190526993</v>
      </c>
      <c r="I24" s="34">
        <f t="shared" si="2"/>
        <v>0.92296823296240671</v>
      </c>
      <c r="J24" s="34">
        <f t="shared" si="2"/>
        <v>1.062998371462176</v>
      </c>
      <c r="K24" s="34">
        <f t="shared" si="2"/>
        <v>1.7627538495186501</v>
      </c>
      <c r="L24" s="34">
        <f t="shared" si="2"/>
        <v>1.6885409960299302</v>
      </c>
      <c r="M24" s="34">
        <f t="shared" si="2"/>
        <v>1.6020846487617035</v>
      </c>
      <c r="N24" s="34">
        <f t="shared" si="2"/>
        <v>1.0950309999999908</v>
      </c>
      <c r="O24" s="34">
        <f t="shared" si="2"/>
        <v>1.0365249999999993</v>
      </c>
      <c r="P24" s="34">
        <f t="shared" si="2"/>
        <v>1.0831150000000012</v>
      </c>
      <c r="Q24" s="34">
        <f t="shared" si="2"/>
        <v>1.129708000000007</v>
      </c>
      <c r="R24" s="34">
        <f t="shared" si="2"/>
        <v>1.1763020000000068</v>
      </c>
      <c r="S24" s="34">
        <f t="shared" si="2"/>
        <v>1.3472960000000089</v>
      </c>
      <c r="T24" s="34">
        <f>100*(T23/S23-1)</f>
        <v>1.4308339999999919</v>
      </c>
      <c r="U24" s="34">
        <f t="shared" ref="U24:W24" si="3">100*(U23/T23-1)</f>
        <v>1.5276580000000095</v>
      </c>
      <c r="V24" s="34">
        <f t="shared" si="3"/>
        <v>1.6417399999999915</v>
      </c>
      <c r="W24" s="34">
        <f t="shared" si="3"/>
        <v>1.5633220000000003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1173.0429999999999</v>
      </c>
      <c r="D27" s="100">
        <f>+C27*(1+'Input data'!D33/100)</f>
        <v>1191.1868783764799</v>
      </c>
      <c r="E27" s="100">
        <f>+D27*(1+'Input data'!E33/100)</f>
        <v>1213.5621207880349</v>
      </c>
      <c r="F27" s="100">
        <f>+E27*(1+'Input data'!F33/100)</f>
        <v>1236.8449775345198</v>
      </c>
      <c r="G27" s="34">
        <f>+F27*(1+'Input data'!G33/100)</f>
        <v>1261.8457332242676</v>
      </c>
      <c r="H27" s="34">
        <f>+G27*(1+'Input data'!H33/100)</f>
        <v>1282.1430265814731</v>
      </c>
      <c r="I27" s="34">
        <f>+H27*(1+'Input data'!I33/100)</f>
        <v>1300.4982374357346</v>
      </c>
      <c r="J27" s="34">
        <f>+I27*(1+'Input data'!J33/100)</f>
        <v>1318.7135489535367</v>
      </c>
      <c r="K27" s="34">
        <f>+J27*(1+'Input data'!K33/100)</f>
        <v>1336.4066099556267</v>
      </c>
      <c r="L27" s="34">
        <f>+K27*(1+'Input data'!L33/100)</f>
        <v>1353.3725457862693</v>
      </c>
      <c r="M27" s="34">
        <f>+L27*(1+'Input data'!M33/100)</f>
        <v>1369.4118645742244</v>
      </c>
      <c r="N27" s="34">
        <f>+M27*(1+'Input data'!N33/100)</f>
        <v>1384.4073627031089</v>
      </c>
      <c r="O27" s="34">
        <f>+N27*(1+'Input data'!O33/100)</f>
        <v>1398.7570634312199</v>
      </c>
      <c r="P27" s="34">
        <f>+O27*(1+'Input data'!P33/100)</f>
        <v>1413.9072249863734</v>
      </c>
      <c r="Q27" s="34">
        <f>+P27*(1+'Input data'!Q33/100)</f>
        <v>1429.8802480196225</v>
      </c>
      <c r="R27" s="34">
        <f>+Q27*(1+'Input data'!R33/100)</f>
        <v>1446.6999436758797</v>
      </c>
      <c r="S27" s="34">
        <f>+R27*(1+'Input data'!S33/100)</f>
        <v>1466.1912596820275</v>
      </c>
      <c r="T27" s="34">
        <f>+S27*(1+'Input data'!T33/100)</f>
        <v>1487.1700520544116</v>
      </c>
      <c r="U27" s="34">
        <f>+T27*(1+'Input data'!U33/100)</f>
        <v>1509.8888797131235</v>
      </c>
      <c r="V27" s="34">
        <f>+U27*(1+'Input data'!V33/100)</f>
        <v>1534.677314308037</v>
      </c>
      <c r="W27" s="34">
        <f>+V27*(1+'Input data'!W33/100)</f>
        <v>1558.6693237787163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-3.851521214482323</v>
      </c>
      <c r="D30" s="100">
        <f t="shared" ref="D30:W30" si="4">100*(D23/D27-1)</f>
        <v>0.14784626222212882</v>
      </c>
      <c r="E30" s="100">
        <f t="shared" si="4"/>
        <v>0.76212651205243009</v>
      </c>
      <c r="F30" s="100">
        <f t="shared" si="4"/>
        <v>0.9857223436085194</v>
      </c>
      <c r="G30" s="34">
        <f t="shared" si="4"/>
        <v>0.35299695545711884</v>
      </c>
      <c r="H30" s="34">
        <f t="shared" si="4"/>
        <v>-0.40169864518577736</v>
      </c>
      <c r="I30" s="34">
        <f t="shared" si="4"/>
        <v>-0.90114118979196522</v>
      </c>
      <c r="J30" s="34">
        <f t="shared" si="4"/>
        <v>-1.2311193718211766</v>
      </c>
      <c r="K30" s="34">
        <f t="shared" si="4"/>
        <v>-0.8207462478808103</v>
      </c>
      <c r="L30" s="34">
        <f t="shared" si="4"/>
        <v>-0.4103731239404107</v>
      </c>
      <c r="M30" s="34">
        <f>100*(M23/M27-1)</f>
        <v>0</v>
      </c>
      <c r="N30" s="34">
        <f t="shared" si="4"/>
        <v>-9.8916831392514837E-7</v>
      </c>
      <c r="O30" s="34">
        <f t="shared" si="4"/>
        <v>9.9031387534864734E-7</v>
      </c>
      <c r="P30" s="34">
        <f t="shared" si="4"/>
        <v>1.0289991081435801E-9</v>
      </c>
      <c r="Q30" s="34">
        <f t="shared" si="4"/>
        <v>1.0289991081435801E-9</v>
      </c>
      <c r="R30" s="34">
        <f t="shared" si="4"/>
        <v>9.8940275972125846E-7</v>
      </c>
      <c r="S30" s="34">
        <f t="shared" si="4"/>
        <v>1.9761089431469259E-6</v>
      </c>
      <c r="T30" s="34">
        <f t="shared" si="4"/>
        <v>4.3219205991817944E-9</v>
      </c>
      <c r="U30" s="34">
        <f t="shared" si="4"/>
        <v>2.959181855111126E-6</v>
      </c>
      <c r="V30" s="34">
        <f t="shared" si="4"/>
        <v>3.9430296583375934E-6</v>
      </c>
      <c r="W30" s="34">
        <f t="shared" si="4"/>
        <v>4.5999870579294111E-9</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9.2295881492239893</v>
      </c>
      <c r="D33" s="2">
        <f t="shared" si="5"/>
        <v>10.152003533114161</v>
      </c>
      <c r="E33" s="2">
        <f t="shared" si="5"/>
        <v>8.5794699112708308</v>
      </c>
      <c r="F33" s="2">
        <f>100*((1+F24/100)*(1+F42/100)-1)</f>
        <v>5.4673252982514908</v>
      </c>
      <c r="G33" s="1">
        <f>100*((1+G24/100)*(1+G42/100)-1)</f>
        <v>3.7567984562641543</v>
      </c>
      <c r="H33" s="1">
        <f t="shared" si="5"/>
        <v>3.2326676569332857</v>
      </c>
      <c r="I33" s="1">
        <f t="shared" si="5"/>
        <v>3.3392957106716192</v>
      </c>
      <c r="J33" s="1">
        <f t="shared" si="5"/>
        <v>3.5089162150359288</v>
      </c>
      <c r="K33" s="1">
        <f t="shared" si="5"/>
        <v>4.2520265056912532</v>
      </c>
      <c r="L33" s="1">
        <f t="shared" si="5"/>
        <v>4.2023984170525885</v>
      </c>
      <c r="M33" s="1">
        <f t="shared" si="5"/>
        <v>4.1401824488825234</v>
      </c>
      <c r="N33" s="1">
        <f t="shared" si="5"/>
        <v>3.6467082512893434</v>
      </c>
      <c r="O33" s="1">
        <f t="shared" si="5"/>
        <v>3.6129563875000104</v>
      </c>
      <c r="P33" s="1">
        <f t="shared" si="5"/>
        <v>3.632936575875001</v>
      </c>
      <c r="Q33" s="1">
        <f t="shared" si="5"/>
        <v>3.6528942145999999</v>
      </c>
      <c r="R33" s="1">
        <f t="shared" si="5"/>
        <v>3.6728272518500082</v>
      </c>
      <c r="S33" s="1">
        <f t="shared" si="5"/>
        <v>3.8201700224000046</v>
      </c>
      <c r="T33" s="1">
        <f t="shared" si="5"/>
        <v>3.8778528702499759</v>
      </c>
      <c r="U33" s="1">
        <f>100*((1+U24/100)*(1+U42/100)-1)</f>
        <v>3.9490926433000118</v>
      </c>
      <c r="V33" s="1">
        <f t="shared" si="5"/>
        <v>4.0379440204999728</v>
      </c>
      <c r="W33" s="1">
        <f t="shared" si="5"/>
        <v>3.9297474026000145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1.94496</v>
      </c>
      <c r="D36" s="100">
        <f>'Input data'!D37</f>
        <v>2.2273139999999998</v>
      </c>
      <c r="E36" s="100">
        <f>'Input data'!E37</f>
        <v>2.3933339999999999</v>
      </c>
      <c r="F36" s="100">
        <f>'Input data'!F37</f>
        <v>2.4819740000000001</v>
      </c>
      <c r="G36" s="100">
        <f>'Input data'!G37</f>
        <v>2.5283959999999999</v>
      </c>
      <c r="H36" s="34">
        <f t="shared" ref="H36:W36" si="6">H101</f>
        <v>2.6361246787580406</v>
      </c>
      <c r="I36" s="34">
        <f t="shared" si="6"/>
        <v>2.73386480148549</v>
      </c>
      <c r="J36" s="34">
        <f t="shared" si="6"/>
        <v>2.8287631783892073</v>
      </c>
      <c r="K36" s="34">
        <f t="shared" si="6"/>
        <v>2.919841613953964</v>
      </c>
      <c r="L36" s="34">
        <f t="shared" si="6"/>
        <v>3.0117876140919071</v>
      </c>
      <c r="M36" s="34">
        <f t="shared" si="6"/>
        <v>3.1047909003314378</v>
      </c>
      <c r="N36" s="34">
        <f t="shared" si="6"/>
        <v>3.1991376501506701</v>
      </c>
      <c r="O36" s="34">
        <f t="shared" si="6"/>
        <v>3.2976764870007291</v>
      </c>
      <c r="P36" s="34">
        <f t="shared" si="6"/>
        <v>3.386346459134653</v>
      </c>
      <c r="Q36" s="34">
        <f t="shared" si="6"/>
        <v>3.4667137957330088</v>
      </c>
      <c r="R36" s="34">
        <f t="shared" si="6"/>
        <v>3.5389604010391911</v>
      </c>
      <c r="S36" s="34">
        <f t="shared" si="6"/>
        <v>3.6033241767476585</v>
      </c>
      <c r="T36" s="34">
        <f t="shared" si="6"/>
        <v>3.660127341840929</v>
      </c>
      <c r="U36" s="34">
        <f t="shared" si="6"/>
        <v>3.7098002215836239</v>
      </c>
      <c r="V36" s="34">
        <f t="shared" si="6"/>
        <v>3.752788578730923</v>
      </c>
      <c r="W36" s="34">
        <f t="shared" si="6"/>
        <v>3.7894773848470824</v>
      </c>
    </row>
    <row r="37" spans="2:51" x14ac:dyDescent="0.2">
      <c r="B37" s="32" t="s">
        <v>94</v>
      </c>
      <c r="C37" s="1"/>
      <c r="D37" s="2">
        <f>'Input data'!D$39</f>
        <v>2.1800000000000002</v>
      </c>
      <c r="E37" s="2">
        <f>'Input data'!E$39</f>
        <v>3.48</v>
      </c>
      <c r="F37" s="166">
        <f>'Input data'!F$39</f>
        <v>3.2930959999999998</v>
      </c>
      <c r="G37" s="166">
        <f>'Input data'!G$39</f>
        <v>3.4118309999999998</v>
      </c>
      <c r="H37" s="1">
        <f>G37+($O$37-$G$37)/($O$10-$G$10)</f>
        <v>3.5264958749999997</v>
      </c>
      <c r="I37" s="1">
        <f t="shared" ref="I37:N37" si="7">H37+($O$37-$G$37)/($O$10-$G$10)</f>
        <v>3.6411607499999996</v>
      </c>
      <c r="J37" s="1">
        <f t="shared" si="7"/>
        <v>3.7558256249999995</v>
      </c>
      <c r="K37" s="1">
        <f t="shared" si="7"/>
        <v>3.8704904999999994</v>
      </c>
      <c r="L37" s="1">
        <f t="shared" si="7"/>
        <v>3.9851553749999993</v>
      </c>
      <c r="M37" s="1">
        <f t="shared" si="7"/>
        <v>4.0998202499999996</v>
      </c>
      <c r="N37" s="1">
        <f t="shared" si="7"/>
        <v>4.2144851249999995</v>
      </c>
      <c r="O37" s="252">
        <f>'Input data'!$C$52</f>
        <v>4.3291500000000003</v>
      </c>
      <c r="P37" s="1">
        <f>'Baseline NFPC'!P36</f>
        <v>4.3126925000000007</v>
      </c>
      <c r="Q37" s="1">
        <f>'Baseline NFPC'!Q36</f>
        <v>4.2962350000000002</v>
      </c>
      <c r="R37" s="1">
        <f>'Baseline NFPC'!R36</f>
        <v>4.2797774999999998</v>
      </c>
      <c r="S37" s="1">
        <f>'Baseline NFPC'!S36</f>
        <v>4.2633200000000002</v>
      </c>
      <c r="T37" s="1">
        <f>'Baseline NFPC'!T36</f>
        <v>4.2468625000000007</v>
      </c>
      <c r="U37" s="1">
        <f>'Baseline NFPC'!U36</f>
        <v>4.2304050000000002</v>
      </c>
      <c r="V37" s="1">
        <f>'Baseline NFPC'!V36</f>
        <v>4.2139474999999997</v>
      </c>
      <c r="W37" s="1">
        <f>'Baseline NFPC'!W36</f>
        <v>4.1974900000000002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9.2594570000000001E-2</v>
      </c>
      <c r="D39" s="34">
        <f>'Baseline NFPC'!D38</f>
        <v>6.7370540000000007E-2</v>
      </c>
      <c r="E39" s="34">
        <f>'Baseline NFPC'!E38</f>
        <v>9.4524629999999998E-2</v>
      </c>
      <c r="F39" s="34">
        <f>'Baseline NFPC'!F38</f>
        <v>8.5181549999999995E-2</v>
      </c>
      <c r="G39" s="34">
        <f>'Baseline NFPC'!G38</f>
        <v>8.5454706666666658E-2</v>
      </c>
      <c r="H39" s="34">
        <f>'Baseline NFPC'!H38</f>
        <v>8.5727863333333335E-2</v>
      </c>
      <c r="I39" s="34">
        <f>'Baseline NFPC'!I38</f>
        <v>8.6001019999999997E-2</v>
      </c>
      <c r="J39" s="34">
        <f>'Baseline NFPC'!J38</f>
        <v>8.627417666666666E-2</v>
      </c>
      <c r="K39" s="34">
        <f>'Baseline NFPC'!K38</f>
        <v>8.6547333333333337E-2</v>
      </c>
      <c r="L39" s="34">
        <f>'Baseline NFPC'!L38</f>
        <v>8.682049E-2</v>
      </c>
      <c r="M39" s="34">
        <f>'Baseline NFPC'!M38</f>
        <v>8.7093646666666663E-2</v>
      </c>
      <c r="N39" s="34">
        <f>'Baseline NFPC'!N38</f>
        <v>8.736680333333334E-2</v>
      </c>
      <c r="O39" s="34">
        <f>'Baseline NFPC'!O38</f>
        <v>8.7639960000000003E-2</v>
      </c>
      <c r="P39" s="34">
        <f>'Baseline NFPC'!P38</f>
        <v>8.7639960000000003E-2</v>
      </c>
      <c r="Q39" s="34">
        <f>'Baseline NFPC'!Q38</f>
        <v>8.7639960000000003E-2</v>
      </c>
      <c r="R39" s="34">
        <f>'Baseline NFPC'!R38</f>
        <v>8.7639960000000003E-2</v>
      </c>
      <c r="S39" s="34">
        <f>'Baseline NFPC'!S38</f>
        <v>8.7639960000000003E-2</v>
      </c>
      <c r="T39" s="34">
        <f>'Baseline NFPC'!T38</f>
        <v>8.7639960000000003E-2</v>
      </c>
      <c r="U39" s="34">
        <f>'Baseline NFPC'!U38</f>
        <v>8.7639960000000003E-2</v>
      </c>
      <c r="V39" s="34">
        <f>'Baseline NFPC'!V38</f>
        <v>8.7639960000000003E-2</v>
      </c>
      <c r="W39" s="34">
        <f>'Baseline NFPC'!W38</f>
        <v>8.7639960000000003E-2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2.656326</v>
      </c>
      <c r="D42" s="2">
        <f>'Input data'!D42</f>
        <v>4.1423170000000002</v>
      </c>
      <c r="E42" s="2">
        <f>'Input data'!E42</f>
        <v>5.9277860000000002</v>
      </c>
      <c r="F42" s="2">
        <f>'Input data'!F42</f>
        <v>3.2528440000000001</v>
      </c>
      <c r="G42" s="2">
        <f>'Input data'!G42</f>
        <v>2.3423060000000002</v>
      </c>
      <c r="H42" s="1">
        <f>'Baseline NFPC'!H41</f>
        <v>2.3682677500000002</v>
      </c>
      <c r="I42" s="1">
        <f>'Baseline NFPC'!I41</f>
        <v>2.3942295000000002</v>
      </c>
      <c r="J42" s="1">
        <f>'Baseline NFPC'!J41</f>
        <v>2.4201912500000002</v>
      </c>
      <c r="K42" s="1">
        <f>'Baseline NFPC'!K41</f>
        <v>2.4461529999999998</v>
      </c>
      <c r="L42" s="1">
        <f>'Baseline NFPC'!L41</f>
        <v>2.4721147499999998</v>
      </c>
      <c r="M42" s="1">
        <f>'Baseline NFPC'!M41</f>
        <v>2.4980764999999998</v>
      </c>
      <c r="N42" s="1">
        <f>'Baseline NFPC'!N41</f>
        <v>2.5240382499999998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0.99997000000000003</v>
      </c>
      <c r="D43" s="1">
        <f>'Baseline NFPC'!D42</f>
        <v>0.99999990000000005</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0.59699999999999998</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0.23533130363807922</v>
      </c>
      <c r="I51" s="34">
        <f t="shared" si="9"/>
        <v>-0.26779909679051822</v>
      </c>
      <c r="J51" s="34">
        <f t="shared" si="9"/>
        <v>-0.60076079319464348</v>
      </c>
      <c r="K51" s="34">
        <f t="shared" si="9"/>
        <v>-0.82074624788078432</v>
      </c>
      <c r="L51" s="34">
        <f t="shared" si="9"/>
        <v>-0.41037312394039216</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5.7706480000000004</v>
      </c>
      <c r="E52" s="34">
        <f>'Input data'!E30-$C$47*((E12-D12)-('Input data'!E13-'Input data'!D13))</f>
        <v>2.5032939999999999</v>
      </c>
      <c r="F52" s="34">
        <f>'Input data'!F30-$C$47*((F12-E12)-('Input data'!F13-'Input data'!E13))</f>
        <v>2.144717</v>
      </c>
      <c r="G52" s="34">
        <f>'Input data'!G30-$C$47*((G12-F12))</f>
        <v>1.3821189999999999</v>
      </c>
      <c r="H52" s="34">
        <f>'Input data'!H30-$C$47*((H12-G12))</f>
        <v>0.63103500000000001</v>
      </c>
      <c r="I52" s="34">
        <f>'Input data'!I30-$C$47*((I12-H12))</f>
        <v>0.34257760000000004</v>
      </c>
      <c r="J52" s="34">
        <f>'Input data'!J30-$C$47*((J12-I12))</f>
        <v>0.53271100000000005</v>
      </c>
      <c r="K52" s="34">
        <f>'Input data'!K30-$C$47*((K12-J12))</f>
        <v>1.3416950000000001</v>
      </c>
      <c r="L52" s="34">
        <f>'Input data'!L30-$C$47*((L12-K12))</f>
        <v>1.26952</v>
      </c>
      <c r="M52" s="34">
        <f>'Input data'!M30-$C$47*((M12-L12))</f>
        <v>1.185136</v>
      </c>
      <c r="N52" s="34">
        <f>'Input data'!N30-$C$47*((N12-M12))</f>
        <v>1.0950310000000001</v>
      </c>
      <c r="O52" s="34">
        <f>'Input data'!O30-$C$47*((O12-N12))</f>
        <v>1.0365249999999999</v>
      </c>
      <c r="P52" s="34">
        <f>'Input data'!P30-$C$47*((P12-O12))</f>
        <v>1.083115</v>
      </c>
      <c r="Q52" s="34">
        <f>'Input data'!Q30-$C$47*((Q12-P12))</f>
        <v>1.1297079999999999</v>
      </c>
      <c r="R52" s="34">
        <f>'Input data'!R30-$C$47*((R12-Q12))</f>
        <v>1.176302</v>
      </c>
      <c r="S52" s="34">
        <f>'Input data'!S30-$C$47*((S12-R12))</f>
        <v>1.347296</v>
      </c>
      <c r="T52" s="34">
        <f>'Input data'!T30-$C$47*((T12-S12))</f>
        <v>1.4308339999999999</v>
      </c>
      <c r="U52" s="34">
        <f>'Input data'!U30-$C$47*((U12-T12))</f>
        <v>1.527658</v>
      </c>
      <c r="V52" s="34">
        <f>'Input data'!V30-$C$47*((V12-U12))</f>
        <v>1.64174</v>
      </c>
      <c r="W52" s="34">
        <f>'Input data'!W30-$C$47*((W12-V12))</f>
        <v>1.5633220000000001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116.8408</v>
      </c>
      <c r="D57" s="45">
        <f>+C57+D58</f>
        <v>111.62002928145338</v>
      </c>
      <c r="E57" s="45">
        <f>+D57+E58</f>
        <v>107.65412775375809</v>
      </c>
      <c r="F57" s="45">
        <f>+E57+F58</f>
        <v>105.5099779146238</v>
      </c>
      <c r="G57" s="45">
        <f>+F57+G58</f>
        <v>104.97907714628217</v>
      </c>
      <c r="H57" s="45">
        <f t="shared" ref="H57:S57" si="10">+G57+H58</f>
        <v>103.74121471198744</v>
      </c>
      <c r="I57" s="45">
        <f t="shared" si="10"/>
        <v>101.94036868200992</v>
      </c>
      <c r="J57" s="45">
        <f t="shared" si="10"/>
        <v>99.41445907477997</v>
      </c>
      <c r="K57" s="45">
        <f t="shared" si="10"/>
        <v>96.170147465660378</v>
      </c>
      <c r="L57" s="45">
        <f t="shared" si="10"/>
        <v>93.018638969876108</v>
      </c>
      <c r="M57" s="45">
        <f t="shared" si="10"/>
        <v>90.007057094889277</v>
      </c>
      <c r="N57" s="45">
        <f t="shared" si="10"/>
        <v>87.77045507144004</v>
      </c>
      <c r="O57" s="45">
        <f t="shared" si="10"/>
        <v>85.89690252080409</v>
      </c>
      <c r="P57" s="45">
        <f t="shared" si="10"/>
        <v>84.320118533898068</v>
      </c>
      <c r="Q57" s="45">
        <f t="shared" si="10"/>
        <v>83.015360076418162</v>
      </c>
      <c r="R57" s="45">
        <f t="shared" si="10"/>
        <v>81.957025752459728</v>
      </c>
      <c r="S57" s="45">
        <f t="shared" si="10"/>
        <v>81.023445472416014</v>
      </c>
      <c r="T57" s="45">
        <f>+S57+T58</f>
        <v>80.276386740036898</v>
      </c>
      <c r="U57" s="45">
        <f>+T57+U58</f>
        <v>79.69673458743226</v>
      </c>
      <c r="V57" s="45">
        <f t="shared" ref="V57:W57" si="11">+U57+V58</f>
        <v>79.245422907480503</v>
      </c>
      <c r="W57" s="45">
        <f t="shared" si="11"/>
        <v>79.100730778663831</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-5.2207707185466106</v>
      </c>
      <c r="E58" s="47">
        <f>-E59+E67+E72</f>
        <v>-3.9659015276953009</v>
      </c>
      <c r="F58" s="47">
        <f>-F59+F67+F72</f>
        <v>-2.1441498391342861</v>
      </c>
      <c r="G58" s="47">
        <f>-G59+G67+G72</f>
        <v>-0.53090076834164168</v>
      </c>
      <c r="H58" s="47">
        <f t="shared" ref="H58:S58" si="12">-H59+H67+H72</f>
        <v>-1.2378624342947242</v>
      </c>
      <c r="I58" s="47">
        <f t="shared" si="12"/>
        <v>-1.8008460299775197</v>
      </c>
      <c r="J58" s="47">
        <f t="shared" si="12"/>
        <v>-2.5259096072299534</v>
      </c>
      <c r="K58" s="47">
        <f t="shared" si="12"/>
        <v>-3.24431160911959</v>
      </c>
      <c r="L58" s="47">
        <f t="shared" si="12"/>
        <v>-3.1515084957842712</v>
      </c>
      <c r="M58" s="47">
        <f t="shared" si="12"/>
        <v>-3.0115818749868275</v>
      </c>
      <c r="N58" s="47">
        <f t="shared" si="12"/>
        <v>-2.2366020234492301</v>
      </c>
      <c r="O58" s="47">
        <f t="shared" si="12"/>
        <v>-1.8735525506359461</v>
      </c>
      <c r="P58" s="47">
        <f t="shared" si="12"/>
        <v>-1.5767839869060185</v>
      </c>
      <c r="Q58" s="47">
        <f t="shared" si="12"/>
        <v>-1.3047584574799103</v>
      </c>
      <c r="R58" s="47">
        <f t="shared" si="12"/>
        <v>-1.0583343239584286</v>
      </c>
      <c r="S58" s="47">
        <f t="shared" si="12"/>
        <v>-0.93358028004371152</v>
      </c>
      <c r="T58" s="47">
        <f>-T59+T67+T72</f>
        <v>-0.74705873237911968</v>
      </c>
      <c r="U58" s="47">
        <f t="shared" ref="U58:W58" si="13">-U59+U67+U72</f>
        <v>-0.57965215260464409</v>
      </c>
      <c r="V58" s="47">
        <f t="shared" si="13"/>
        <v>-0.45131167995175892</v>
      </c>
      <c r="W58" s="47">
        <f t="shared" si="13"/>
        <v>-0.14469212881667237</v>
      </c>
    </row>
    <row r="59" spans="2:48" outlineLevel="1" x14ac:dyDescent="0.2">
      <c r="B59" s="84" t="s">
        <v>106</v>
      </c>
      <c r="C59" s="48"/>
      <c r="D59" s="48">
        <f>D60+D61-D62-D63-D64-D65-D66</f>
        <v>-2.3733228814533889</v>
      </c>
      <c r="E59" s="48">
        <f>E60+E61-E62-E63-E64-E65-E66</f>
        <v>-1.1758664723046994</v>
      </c>
      <c r="F59" s="48">
        <f t="shared" ref="F59:R59" si="14">F60+F61-F62-F63-F64-F65-F66</f>
        <v>-0.448572060865714</v>
      </c>
      <c r="G59" s="48">
        <f t="shared" si="14"/>
        <v>0.22178088240789987</v>
      </c>
      <c r="H59" s="48">
        <f t="shared" si="14"/>
        <v>0.6312276088240909</v>
      </c>
      <c r="I59" s="48">
        <f t="shared" si="14"/>
        <v>1.1930604096941968</v>
      </c>
      <c r="J59" s="48">
        <f t="shared" si="14"/>
        <v>1.8560634350227576</v>
      </c>
      <c r="K59" s="48">
        <f t="shared" si="14"/>
        <v>1.9739435900151538</v>
      </c>
      <c r="L59" s="48">
        <f t="shared" si="14"/>
        <v>2.0526737450075703</v>
      </c>
      <c r="M59" s="48">
        <f t="shared" si="14"/>
        <v>2.0867638999999958</v>
      </c>
      <c r="N59" s="48">
        <f t="shared" si="14"/>
        <v>1.8479306094665118</v>
      </c>
      <c r="O59" s="48">
        <f t="shared" si="14"/>
        <v>1.6064791912173777</v>
      </c>
      <c r="P59" s="48">
        <f t="shared" si="14"/>
        <v>1.372396000614311</v>
      </c>
      <c r="Q59" s="48">
        <f t="shared" si="14"/>
        <v>1.1533034006143124</v>
      </c>
      <c r="R59" s="48">
        <f t="shared" si="14"/>
        <v>0.95114129067344377</v>
      </c>
      <c r="S59" s="48">
        <f>S60+S61-S62-S63-S64-S65-S66</f>
        <v>0.76239927973703547</v>
      </c>
      <c r="T59" s="48">
        <f>T60+T61-T62-T63-T64-T65-T66</f>
        <v>0.57723550258018264</v>
      </c>
      <c r="U59" s="48">
        <f>U60+U61-U62-U63-U64-U65-U66</f>
        <v>0.39485466663156443</v>
      </c>
      <c r="V59" s="48">
        <f t="shared" ref="V59:W59" si="15">V60+V61-V62-V63-V64-V65-V66</f>
        <v>0.23287255398870244</v>
      </c>
      <c r="W59" s="48">
        <f t="shared" si="15"/>
        <v>3.7737602746192311E-2</v>
      </c>
    </row>
    <row r="60" spans="2:48" outlineLevel="1" x14ac:dyDescent="0.2">
      <c r="B60" s="79" t="s">
        <v>107</v>
      </c>
      <c r="C60" s="1"/>
      <c r="D60" s="1">
        <f>D12</f>
        <v>-2.3947409999999998</v>
      </c>
      <c r="E60" s="1">
        <f>E12</f>
        <v>-1.6308560000000001</v>
      </c>
      <c r="F60" s="1">
        <f>F12</f>
        <v>-0.84895830000000005</v>
      </c>
      <c r="G60" s="1">
        <f t="shared" ref="G60:W60" si="16">IF(G12="",F60,G12)</f>
        <v>1.1041699999999932E-2</v>
      </c>
      <c r="H60" s="1">
        <f t="shared" si="16"/>
        <v>0.87104169999999992</v>
      </c>
      <c r="I60" s="1">
        <f t="shared" si="16"/>
        <v>1.7310417</v>
      </c>
      <c r="J60" s="1">
        <f t="shared" si="16"/>
        <v>2.5910416999999999</v>
      </c>
      <c r="K60" s="1">
        <f t="shared" si="16"/>
        <v>2.5910416999999999</v>
      </c>
      <c r="L60" s="1">
        <f t="shared" si="16"/>
        <v>2.5910416999999999</v>
      </c>
      <c r="M60" s="1">
        <f t="shared" si="16"/>
        <v>2.5910416999999999</v>
      </c>
      <c r="N60" s="1">
        <f t="shared" si="16"/>
        <v>2.5910416999999999</v>
      </c>
      <c r="O60" s="1">
        <f t="shared" si="16"/>
        <v>2.5910416999999999</v>
      </c>
      <c r="P60" s="1">
        <f t="shared" si="16"/>
        <v>2.5910416999999999</v>
      </c>
      <c r="Q60" s="1">
        <f t="shared" si="16"/>
        <v>2.5910416999999999</v>
      </c>
      <c r="R60" s="1">
        <f t="shared" si="16"/>
        <v>2.5910416999999999</v>
      </c>
      <c r="S60" s="1">
        <f t="shared" si="16"/>
        <v>2.5910416999999999</v>
      </c>
      <c r="T60" s="1">
        <f t="shared" si="16"/>
        <v>2.5910416999999999</v>
      </c>
      <c r="U60" s="1">
        <f t="shared" si="16"/>
        <v>2.5910416999999999</v>
      </c>
      <c r="V60" s="1">
        <f t="shared" si="16"/>
        <v>2.5910416999999999</v>
      </c>
      <c r="W60" s="1">
        <f t="shared" si="16"/>
        <v>2.5910416999999999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-8.8264218546610901E-2</v>
      </c>
      <c r="E62" s="1">
        <f t="shared" si="17"/>
        <v>-0.45498952769530077</v>
      </c>
      <c r="F62" s="1">
        <f t="shared" si="17"/>
        <v>-0.58847623913428604</v>
      </c>
      <c r="G62" s="1">
        <f t="shared" si="17"/>
        <v>-0.21073918240789993</v>
      </c>
      <c r="H62" s="1">
        <f t="shared" si="17"/>
        <v>0.23981409117590907</v>
      </c>
      <c r="I62" s="1">
        <f t="shared" si="17"/>
        <v>0.53798129030580322</v>
      </c>
      <c r="J62" s="1">
        <f t="shared" si="17"/>
        <v>0.73497826497724239</v>
      </c>
      <c r="K62" s="1">
        <f t="shared" si="17"/>
        <v>0.48998550998484375</v>
      </c>
      <c r="L62" s="1">
        <f t="shared" si="17"/>
        <v>0.24499275499242518</v>
      </c>
      <c r="M62" s="1">
        <f>-$C$48*M30</f>
        <v>0</v>
      </c>
      <c r="N62" s="1">
        <f t="shared" si="17"/>
        <v>5.9053348341331355E-7</v>
      </c>
      <c r="O62" s="1">
        <f t="shared" si="17"/>
        <v>-5.9121738358314249E-7</v>
      </c>
      <c r="P62" s="1">
        <f t="shared" si="17"/>
        <v>-6.1431246756171729E-10</v>
      </c>
      <c r="Q62" s="1">
        <f t="shared" si="17"/>
        <v>-6.1431246756171729E-10</v>
      </c>
      <c r="R62" s="1">
        <f t="shared" si="17"/>
        <v>-5.9067344755359124E-7</v>
      </c>
      <c r="S62" s="1">
        <f t="shared" si="17"/>
        <v>-1.1797370390587147E-6</v>
      </c>
      <c r="T62" s="1">
        <f t="shared" si="17"/>
        <v>-2.5801865977115313E-9</v>
      </c>
      <c r="U62" s="1">
        <f>-$C$48*U30</f>
        <v>-1.7666315675013421E-6</v>
      </c>
      <c r="V62" s="1">
        <f t="shared" si="17"/>
        <v>-2.3539887060275431E-6</v>
      </c>
      <c r="W62" s="1">
        <f t="shared" si="17"/>
        <v>-2.7461922735838584E-9</v>
      </c>
    </row>
    <row r="63" spans="2:48" outlineLevel="1" x14ac:dyDescent="0.2">
      <c r="B63" s="79" t="s">
        <v>110</v>
      </c>
      <c r="C63" s="1"/>
      <c r="D63" s="1">
        <f t="shared" ref="D63:W63" si="18">-D14</f>
        <v>6.6846100000000006E-2</v>
      </c>
      <c r="E63" s="1">
        <f t="shared" si="18"/>
        <v>0</v>
      </c>
      <c r="F63" s="1">
        <f t="shared" si="18"/>
        <v>0.18809000000000001</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0.12803000000000253</v>
      </c>
      <c r="L64" s="1">
        <f>IF(L$56&lt;=$C$6,0,HLOOKUP(L$56,'Input data'!$C$9:$BB$26,12,FALSE)-HLOOKUP($C$6,'Input data'!$C$9:$BB$26,12,FALSE))</f>
        <v>0.29521000000000441</v>
      </c>
      <c r="M64" s="1">
        <f>IF(M$56&lt;=$C$6,0,HLOOKUP(M$56,'Input data'!$C$9:$BB$26,12,FALSE)-HLOOKUP($C$6,'Input data'!$C$9:$BB$26,12,FALSE))</f>
        <v>0.50703000000000387</v>
      </c>
      <c r="N64" s="1">
        <f>IF(N$56&lt;=$C$6,0,HLOOKUP(N$56,'Input data'!$C$9:$BB$26,12,FALSE)-HLOOKUP($C$6,'Input data'!$C$9:$BB$26,12,FALSE))</f>
        <v>0.74678000000000466</v>
      </c>
      <c r="O64" s="1">
        <f>IF(O$56&lt;=$C$6,0,HLOOKUP(O$56,'Input data'!$C$9:$BB$26,12,FALSE)-HLOOKUP($C$6,'Input data'!$C$9:$BB$26,12,FALSE))</f>
        <v>0.98915000000000575</v>
      </c>
      <c r="P64" s="1">
        <f>IF(P$56&lt;=$C$6,0,HLOOKUP(P$56,'Input data'!$C$9:$BB$26,12,FALSE)-HLOOKUP($C$6,'Input data'!$C$9:$BB$26,12,FALSE))</f>
        <v>1.2241500000000016</v>
      </c>
      <c r="Q64" s="1">
        <f>IF(Q$56&lt;=$C$6,0,HLOOKUP(Q$56,'Input data'!$C$9:$BB$26,12,FALSE)-HLOOKUP($C$6,'Input data'!$C$9:$BB$26,12,FALSE))</f>
        <v>1.4441600000000001</v>
      </c>
      <c r="R64" s="1">
        <f>IF(R$56&lt;=$C$6,0,HLOOKUP(R$56,'Input data'!$C$9:$BB$26,12,FALSE)-HLOOKUP($C$6,'Input data'!$C$9:$BB$26,12,FALSE))</f>
        <v>1.6472400000000036</v>
      </c>
      <c r="S64" s="1">
        <f>IF(S$56&lt;=$C$6,0,HLOOKUP(S$56,'Input data'!$C$9:$BB$26,12,FALSE)-HLOOKUP($C$6,'Input data'!$C$9:$BB$26,12,FALSE))</f>
        <v>1.8369000000000035</v>
      </c>
      <c r="T64" s="1">
        <f>IF(T$56&lt;=$C$6,0,HLOOKUP(T$56,'Input data'!$C$9:$BB$26,12,FALSE)-HLOOKUP($C$6,'Input data'!$C$9:$BB$26,12,FALSE))</f>
        <v>2.022980000000004</v>
      </c>
      <c r="U64" s="1">
        <f>IF(U$56&lt;=$C$6,0,HLOOKUP(U$56,'Input data'!$C$9:$BB$26,12,FALSE)-HLOOKUP($C$6,'Input data'!$C$9:$BB$26,12,FALSE))</f>
        <v>2.2062800000000031</v>
      </c>
      <c r="V64" s="1">
        <f>IF(V$56&lt;=$C$6,0,HLOOKUP(V$56,'Input data'!$C$9:$BB$26,12,FALSE)-HLOOKUP($C$6,'Input data'!$C$9:$BB$26,12,FALSE))</f>
        <v>2.3691800000000036</v>
      </c>
      <c r="W64" s="1">
        <f>IF(W$56&lt;=$C$6,0,HLOOKUP(W$56,'Input data'!$C$9:$BB$26,12,FALSE)-HLOOKUP($C$6,'Input data'!$C$9:$BB$26,12,FALSE))</f>
        <v>2.5652299999999997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-9.1739999999995714E-4</v>
      </c>
      <c r="L65" s="1">
        <f>IF(L$56&lt;=$C$6,0,-HLOOKUP(L$56,'Input data'!$C$9:$BB$26,18,FALSE)+HLOOKUP($C$6,'Input data'!$C$9:$BB$26,18,FALSE))</f>
        <v>-1.8348000000000253E-3</v>
      </c>
      <c r="M65" s="1">
        <f>IF(M$56&lt;=$C$6,0,-HLOOKUP(M$56,'Input data'!$C$9:$BB$26,18,FALSE)+HLOOKUP($C$6,'Input data'!$C$9:$BB$26,18,FALSE))</f>
        <v>-2.7521999999999824E-3</v>
      </c>
      <c r="N65" s="1">
        <f>IF(N$56&lt;=$C$6,0,-HLOOKUP(N$56,'Input data'!$C$9:$BB$26,18,FALSE)+HLOOKUP($C$6,'Input data'!$C$9:$BB$26,18,FALSE))</f>
        <v>-3.6694999999999922E-3</v>
      </c>
      <c r="O65" s="1">
        <f>IF(O$56&lt;=$C$6,0,-HLOOKUP(O$56,'Input data'!$C$9:$BB$26,18,FALSE)+HLOOKUP($C$6,'Input data'!$C$9:$BB$26,18,FALSE))</f>
        <v>-4.5868999999999494E-3</v>
      </c>
      <c r="P65" s="1">
        <f>IF(P$56&lt;=$C$6,0,-HLOOKUP(P$56,'Input data'!$C$9:$BB$26,18,FALSE)+HLOOKUP($C$6,'Input data'!$C$9:$BB$26,18,FALSE))</f>
        <v>-5.5043000000000175E-3</v>
      </c>
      <c r="Q65" s="1">
        <f>IF(Q$56&lt;=$C$6,0,-HLOOKUP(Q$56,'Input data'!$C$9:$BB$26,18,FALSE)+HLOOKUP($C$6,'Input data'!$C$9:$BB$26,18,FALSE))</f>
        <v>-6.4216999999999747E-3</v>
      </c>
      <c r="R65" s="1">
        <f>IF(R$56&lt;=$C$6,0,-HLOOKUP(R$56,'Input data'!$C$9:$BB$26,18,FALSE)+HLOOKUP($C$6,'Input data'!$C$9:$BB$26,18,FALSE))</f>
        <v>-7.3389999999999844E-3</v>
      </c>
      <c r="S65" s="1">
        <f>IF(S$56&lt;=$C$6,0,-HLOOKUP(S$56,'Input data'!$C$9:$BB$26,18,FALSE)+HLOOKUP($C$6,'Input data'!$C$9:$BB$26,18,FALSE))</f>
        <v>-8.2563999999999416E-3</v>
      </c>
      <c r="T65" s="1">
        <f>IF(T$56&lt;=$C$6,0,-HLOOKUP(T$56,'Input data'!$C$9:$BB$26,18,FALSE)+HLOOKUP($C$6,'Input data'!$C$9:$BB$26,18,FALSE))</f>
        <v>-9.1738000000000097E-3</v>
      </c>
      <c r="U65" s="264">
        <f>IF(U$56&lt;=$C$6,0,-HLOOKUP(U$56,'Input data'!$C$9:$BB$26,18,FALSE)+HLOOKUP($C$6,'Input data'!$C$9:$BB$26,18,FALSE))</f>
        <v>-1.0091199999999967E-2</v>
      </c>
      <c r="V65" s="264">
        <f>IF(V$56&lt;=$C$6,0,-HLOOKUP(V$56,'Input data'!$C$9:$BB$26,18,FALSE)+HLOOKUP($C$6,'Input data'!$C$9:$BB$26,18,FALSE))</f>
        <v>-1.1008499999999977E-2</v>
      </c>
      <c r="W65" s="264">
        <f>IF(W$56&lt;=$C$6,0,-HLOOKUP(W$56,'Input data'!$C$9:$BB$26,18,FALSE)+HLOOKUP($C$6,'Input data'!$C$9:$BB$26,18,FALSE))</f>
        <v>-1.1925899999999934E-2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-8.4059019999999993</v>
      </c>
      <c r="E67" s="48">
        <f t="shared" si="19"/>
        <v>-6.3592510000000004</v>
      </c>
      <c r="F67" s="48">
        <f t="shared" si="19"/>
        <v>-3.047193</v>
      </c>
      <c r="G67" s="48">
        <f t="shared" si="19"/>
        <v>-1.2491208859337417</v>
      </c>
      <c r="H67" s="48">
        <f t="shared" si="19"/>
        <v>-0.6066348254706333</v>
      </c>
      <c r="I67" s="48">
        <f t="shared" si="19"/>
        <v>-0.60778562028332295</v>
      </c>
      <c r="J67" s="48">
        <f t="shared" si="19"/>
        <v>-0.66984617220719578</v>
      </c>
      <c r="K67" s="48">
        <f t="shared" si="19"/>
        <v>-1.2703680191044362</v>
      </c>
      <c r="L67" s="48">
        <f t="shared" si="19"/>
        <v>-1.0988347507767009</v>
      </c>
      <c r="M67" s="48">
        <f t="shared" si="19"/>
        <v>-0.92481797498683194</v>
      </c>
      <c r="N67" s="48">
        <f t="shared" si="19"/>
        <v>-0.38867141398271832</v>
      </c>
      <c r="O67" s="48">
        <f t="shared" si="19"/>
        <v>-0.26707335941856836</v>
      </c>
      <c r="P67" s="48">
        <f t="shared" ref="P67:W67" si="20">SUM(P68:P71)</f>
        <v>-0.20438798629170751</v>
      </c>
      <c r="Q67" s="48">
        <f t="shared" si="20"/>
        <v>-0.1514550568655979</v>
      </c>
      <c r="R67" s="48">
        <f t="shared" si="20"/>
        <v>-0.10719303328498486</v>
      </c>
      <c r="S67" s="48">
        <f t="shared" si="20"/>
        <v>-0.17118100030667605</v>
      </c>
      <c r="T67" s="48">
        <f t="shared" si="20"/>
        <v>-0.16982322979893705</v>
      </c>
      <c r="U67" s="48">
        <f t="shared" si="20"/>
        <v>-0.18479748597307966</v>
      </c>
      <c r="V67" s="48">
        <f t="shared" si="20"/>
        <v>-0.21843912596305648</v>
      </c>
      <c r="W67" s="48">
        <f t="shared" si="20"/>
        <v>-0.10695452607048006</v>
      </c>
    </row>
    <row r="68" spans="2:23" outlineLevel="1" x14ac:dyDescent="0.2">
      <c r="B68" s="79" t="s">
        <v>115</v>
      </c>
      <c r="C68" s="34"/>
      <c r="D68" s="34">
        <f t="shared" ref="D68:E68" si="21">C57*D36/100*(1/(1+D33/100))</f>
        <v>2.3625639231606503</v>
      </c>
      <c r="E68" s="34">
        <f t="shared" si="21"/>
        <v>2.4603547187935546</v>
      </c>
      <c r="F68" s="34">
        <f>E57*F36/100*(1/(1+F33/100))</f>
        <v>2.5334362592575936</v>
      </c>
      <c r="G68" s="34">
        <f>F57*G36/100*(1/(1+G33/100))</f>
        <v>2.5711183275558871</v>
      </c>
      <c r="H68" s="34">
        <f t="shared" ref="H68:W68" si="22">G57*H36/100*(1/(1+H33/100))</f>
        <v>2.680720573241647</v>
      </c>
      <c r="I68" s="34">
        <f t="shared" si="22"/>
        <v>2.7444976609721845</v>
      </c>
      <c r="J68" s="34">
        <f>I57*J36/100*(1/(1+J33/100))</f>
        <v>2.7858968276705949</v>
      </c>
      <c r="K68" s="34">
        <f t="shared" si="22"/>
        <v>2.784353305778851</v>
      </c>
      <c r="L68" s="34">
        <f t="shared" si="22"/>
        <v>2.7796294843734448</v>
      </c>
      <c r="M68" s="34">
        <f t="shared" si="22"/>
        <v>2.7732179552945038</v>
      </c>
      <c r="N68" s="34">
        <f t="shared" si="22"/>
        <v>2.778139026213978</v>
      </c>
      <c r="O68" s="34">
        <f t="shared" si="22"/>
        <v>2.7934591969364937</v>
      </c>
      <c r="P68" s="34">
        <f t="shared" si="22"/>
        <v>2.8067975424877942</v>
      </c>
      <c r="Q68" s="34">
        <f t="shared" si="22"/>
        <v>2.8201211398314552</v>
      </c>
      <c r="R68" s="34">
        <f t="shared" si="22"/>
        <v>2.8338001362185397</v>
      </c>
      <c r="S68" s="34">
        <f t="shared" si="22"/>
        <v>2.8445121240357389</v>
      </c>
      <c r="T68" s="34">
        <f t="shared" si="22"/>
        <v>2.8548542341760266</v>
      </c>
      <c r="U68" s="34">
        <f t="shared" si="22"/>
        <v>2.86495388986271</v>
      </c>
      <c r="V68" s="34">
        <f t="shared" si="22"/>
        <v>2.8747684139445586</v>
      </c>
      <c r="W68" s="34">
        <f t="shared" si="22"/>
        <v>2.8894396981188826</v>
      </c>
    </row>
    <row r="69" spans="2:23" outlineLevel="1" x14ac:dyDescent="0.2">
      <c r="B69" s="79" t="s">
        <v>116</v>
      </c>
      <c r="C69" s="34"/>
      <c r="D69" s="34">
        <f t="shared" ref="D69:W69" si="23">-C57*(D24/100)*(1/(1+D33/100))</f>
        <v>-6.1210609631417761</v>
      </c>
      <c r="E69" s="34">
        <f t="shared" si="23"/>
        <v>-2.5733939372555574</v>
      </c>
      <c r="F69" s="34">
        <f t="shared" si="23"/>
        <v>-2.1891864353317834</v>
      </c>
      <c r="G69" s="34">
        <f t="shared" si="23"/>
        <v>-1.405472675863759</v>
      </c>
      <c r="H69" s="34">
        <f t="shared" si="23"/>
        <v>-0.85868713759186033</v>
      </c>
      <c r="I69" s="34">
        <f t="shared" si="23"/>
        <v>-0.92655794651606871</v>
      </c>
      <c r="J69" s="34">
        <f t="shared" si="23"/>
        <v>-1.0468899671416847</v>
      </c>
      <c r="K69" s="34">
        <f t="shared" si="23"/>
        <v>-1.6809574480771934</v>
      </c>
      <c r="L69" s="34">
        <f t="shared" si="23"/>
        <v>-1.5583829072732454</v>
      </c>
      <c r="M69" s="34">
        <f t="shared" si="23"/>
        <v>-1.4309916694787275</v>
      </c>
      <c r="N69" s="34">
        <f t="shared" si="23"/>
        <v>-0.9509276213453387</v>
      </c>
      <c r="O69" s="34">
        <f t="shared" si="23"/>
        <v>-0.87803952434948385</v>
      </c>
      <c r="P69" s="34">
        <f t="shared" si="23"/>
        <v>-0.89774763359816812</v>
      </c>
      <c r="Q69" s="34">
        <f t="shared" si="23"/>
        <v>-0.91900099066675267</v>
      </c>
      <c r="R69" s="34">
        <f t="shared" si="23"/>
        <v>-0.94191637941338047</v>
      </c>
      <c r="S69" s="34">
        <f t="shared" si="23"/>
        <v>-1.0635734168453266</v>
      </c>
      <c r="T69" s="34">
        <f t="shared" si="23"/>
        <v>-1.1160328922458913</v>
      </c>
      <c r="U69" s="34">
        <f t="shared" si="23"/>
        <v>-1.1797588732720548</v>
      </c>
      <c r="V69" s="34">
        <f t="shared" si="23"/>
        <v>-1.2576307449500248</v>
      </c>
      <c r="W69" s="34">
        <f t="shared" si="23"/>
        <v>-1.192017840192201</v>
      </c>
    </row>
    <row r="70" spans="2:23" outlineLevel="1" x14ac:dyDescent="0.2">
      <c r="B70" s="79" t="s">
        <v>117</v>
      </c>
      <c r="C70" s="34"/>
      <c r="D70" s="34">
        <f t="shared" ref="D70:W70" si="24">-C57*D42/100*(1/(1+D42/100))</f>
        <v>-4.6474060312447243</v>
      </c>
      <c r="E70" s="34">
        <f t="shared" si="24"/>
        <v>-6.2463275395389601</v>
      </c>
      <c r="F70" s="34">
        <f t="shared" si="24"/>
        <v>-3.3915006112475261</v>
      </c>
      <c r="G70" s="34">
        <f t="shared" si="24"/>
        <v>-2.4148044341436945</v>
      </c>
      <c r="H70" s="34">
        <f t="shared" si="24"/>
        <v>-2.42866826112042</v>
      </c>
      <c r="I70" s="34">
        <f t="shared" si="24"/>
        <v>-2.4257253347394387</v>
      </c>
      <c r="J70" s="34">
        <f t="shared" si="24"/>
        <v>-2.408853032736106</v>
      </c>
      <c r="K70" s="34">
        <f t="shared" si="24"/>
        <v>-2.3737638768060938</v>
      </c>
      <c r="L70" s="34">
        <f t="shared" si="24"/>
        <v>-2.3200813278769004</v>
      </c>
      <c r="M70" s="34">
        <f t="shared" si="24"/>
        <v>-2.2670442608026082</v>
      </c>
      <c r="N70" s="34">
        <f t="shared" si="24"/>
        <v>-2.2158828188513575</v>
      </c>
      <c r="O70" s="34">
        <f t="shared" si="24"/>
        <v>-2.1824930320055782</v>
      </c>
      <c r="P70" s="34">
        <f t="shared" si="24"/>
        <v>-2.1134378951813337</v>
      </c>
      <c r="Q70" s="34">
        <f t="shared" si="24"/>
        <v>-2.0525752060303004</v>
      </c>
      <c r="R70" s="34">
        <f t="shared" si="24"/>
        <v>-1.9990767900901441</v>
      </c>
      <c r="S70" s="34">
        <f t="shared" si="24"/>
        <v>-1.9521197074970884</v>
      </c>
      <c r="T70" s="34">
        <f t="shared" si="24"/>
        <v>-1.9086445717290723</v>
      </c>
      <c r="U70" s="34">
        <f t="shared" si="24"/>
        <v>-1.8699925025637349</v>
      </c>
      <c r="V70" s="34">
        <f t="shared" si="24"/>
        <v>-1.8355767949575903</v>
      </c>
      <c r="W70" s="34">
        <f t="shared" si="24"/>
        <v>-1.8043763839971616</v>
      </c>
    </row>
    <row r="71" spans="2:23" outlineLevel="1" x14ac:dyDescent="0.2">
      <c r="B71" s="79" t="s">
        <v>118</v>
      </c>
      <c r="C71" s="49"/>
      <c r="D71" s="49">
        <f>'Baseline NFPC'!D70</f>
        <v>1.0712258511347272E-6</v>
      </c>
      <c r="E71" s="49">
        <f>'Baseline NFPC'!E70</f>
        <v>1.157580009625292E-4</v>
      </c>
      <c r="F71" s="49">
        <f>'Baseline NFPC'!F70</f>
        <v>5.778732171579648E-5</v>
      </c>
      <c r="G71" s="49">
        <f>'Baseline NFPC'!G70</f>
        <v>3.7896517824709264E-5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0.81180839999999999</v>
      </c>
      <c r="E72" s="50">
        <f>'Input data'!E16</f>
        <v>1.2174830000000001</v>
      </c>
      <c r="F72" s="50">
        <f>'Input data'!F16</f>
        <v>0.45447110000000002</v>
      </c>
      <c r="G72" s="50">
        <f>'Input data'!G16</f>
        <v>0.94000099999999998</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0.81181420000000004</v>
      </c>
      <c r="E73" s="34">
        <f t="shared" si="25"/>
        <v>1.217482</v>
      </c>
      <c r="F73" s="34">
        <f t="shared" si="25"/>
        <v>0.45447080000000001</v>
      </c>
      <c r="G73" s="34">
        <f t="shared" si="25"/>
        <v>0.94</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-5.8000000000557606E-6</v>
      </c>
      <c r="E74" s="49">
        <f t="shared" ref="E74:W74" si="26">+E72-E73</f>
        <v>1.000000000139778E-6</v>
      </c>
      <c r="F74" s="49">
        <f t="shared" si="26"/>
        <v>3.000000000086267E-7</v>
      </c>
      <c r="G74" s="49">
        <f t="shared" si="26"/>
        <v>1.0000000000287557E-6</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-4.7358868046140392</v>
      </c>
      <c r="E77" s="78">
        <f t="shared" ref="E77:W77" si="27">E59-E68</f>
        <v>-3.636221191098254</v>
      </c>
      <c r="F77" s="78">
        <f t="shared" si="27"/>
        <v>-2.9820083201233079</v>
      </c>
      <c r="G77" s="78">
        <f>G59-G68</f>
        <v>-2.3493374451479871</v>
      </c>
      <c r="H77" s="78">
        <f t="shared" si="27"/>
        <v>-2.0494929644175564</v>
      </c>
      <c r="I77" s="78">
        <f t="shared" si="27"/>
        <v>-1.5514372512779877</v>
      </c>
      <c r="J77" s="78">
        <f t="shared" si="27"/>
        <v>-0.92983339264783726</v>
      </c>
      <c r="K77" s="78">
        <f t="shared" si="27"/>
        <v>-0.81040971576369714</v>
      </c>
      <c r="L77" s="78">
        <f t="shared" si="27"/>
        <v>-0.72695573936587454</v>
      </c>
      <c r="M77" s="78">
        <f t="shared" si="27"/>
        <v>-0.68645405529450798</v>
      </c>
      <c r="N77" s="78">
        <f t="shared" si="27"/>
        <v>-0.93020841674746624</v>
      </c>
      <c r="O77" s="78">
        <f t="shared" si="27"/>
        <v>-1.186980005719116</v>
      </c>
      <c r="P77" s="78">
        <f t="shared" si="27"/>
        <v>-1.4344015418734832</v>
      </c>
      <c r="Q77" s="78">
        <f t="shared" si="27"/>
        <v>-1.6668177392171428</v>
      </c>
      <c r="R77" s="78">
        <f t="shared" si="27"/>
        <v>-1.8826588455450959</v>
      </c>
      <c r="S77" s="78">
        <f t="shared" si="27"/>
        <v>-2.0821128442987034</v>
      </c>
      <c r="T77" s="78">
        <f t="shared" si="27"/>
        <v>-2.2776187315958438</v>
      </c>
      <c r="U77" s="78">
        <f t="shared" si="27"/>
        <v>-2.4700992232311458</v>
      </c>
      <c r="V77" s="78">
        <f t="shared" si="27"/>
        <v>-2.6418958599558562</v>
      </c>
      <c r="W77" s="78">
        <f t="shared" si="27"/>
        <v>-2.8517020953726901</v>
      </c>
    </row>
    <row r="78" spans="2:23" x14ac:dyDescent="0.2">
      <c r="B78" s="26" t="s">
        <v>42</v>
      </c>
      <c r="D78" s="34">
        <f>D60-D68-D64-D65-D66</f>
        <v>-4.7573049231606497</v>
      </c>
      <c r="E78" s="34">
        <f t="shared" ref="E78:W78" si="28">E60-E68-E64-E65-E66</f>
        <v>-4.0912107187935547</v>
      </c>
      <c r="F78" s="34">
        <f t="shared" si="28"/>
        <v>-3.3823945592575937</v>
      </c>
      <c r="G78" s="34">
        <f t="shared" si="28"/>
        <v>-2.5600766275558873</v>
      </c>
      <c r="H78" s="34">
        <f t="shared" si="28"/>
        <v>-1.8096788732416471</v>
      </c>
      <c r="I78" s="34">
        <f t="shared" si="28"/>
        <v>-1.0134559609721845</v>
      </c>
      <c r="J78" s="34">
        <f t="shared" si="28"/>
        <v>-0.19485512767059499</v>
      </c>
      <c r="K78" s="34">
        <f t="shared" si="28"/>
        <v>-0.32042420577885367</v>
      </c>
      <c r="L78" s="34">
        <f t="shared" si="28"/>
        <v>-0.48196298437344931</v>
      </c>
      <c r="M78" s="34">
        <f t="shared" si="28"/>
        <v>-0.68645405529450776</v>
      </c>
      <c r="N78" s="34">
        <f t="shared" si="28"/>
        <v>-0.93020782621398279</v>
      </c>
      <c r="O78" s="34">
        <f t="shared" si="28"/>
        <v>-1.1869805969364995</v>
      </c>
      <c r="P78" s="34">
        <f t="shared" si="28"/>
        <v>-1.4344015424877958</v>
      </c>
      <c r="Q78" s="34">
        <f t="shared" si="28"/>
        <v>-1.6668177398314554</v>
      </c>
      <c r="R78" s="34">
        <f t="shared" si="28"/>
        <v>-1.8826594362185434</v>
      </c>
      <c r="S78" s="34">
        <f t="shared" si="28"/>
        <v>-2.0821140240357425</v>
      </c>
      <c r="T78" s="34">
        <f t="shared" si="28"/>
        <v>-2.2776187341760306</v>
      </c>
      <c r="U78" s="34">
        <f t="shared" si="28"/>
        <v>-2.4701009898627131</v>
      </c>
      <c r="V78" s="34">
        <f t="shared" si="28"/>
        <v>-2.6418982139445624</v>
      </c>
      <c r="W78" s="34">
        <f t="shared" si="28"/>
        <v>-2.8517020981188823</v>
      </c>
    </row>
    <row r="79" spans="2:23" x14ac:dyDescent="0.2">
      <c r="B79" s="35" t="s">
        <v>123</v>
      </c>
      <c r="C79" s="35"/>
      <c r="D79" s="285">
        <f>'Input data'!D45</f>
        <v>11.906308458666208</v>
      </c>
      <c r="E79" s="285">
        <f>'Input data'!E45</f>
        <v>6.0726167049401747</v>
      </c>
      <c r="F79" s="285">
        <f>'Input data'!F45</f>
        <v>3.8484919420358179</v>
      </c>
      <c r="G79" s="49">
        <f>'Input data'!G33+G42-(G$12-F$12)/'Input data'!$C$64*100</f>
        <v>2.4140040406875345</v>
      </c>
      <c r="H79" s="49">
        <f>'Input data'!H33+H42-(H$12-G$12)/'Input data'!$C$64*100</f>
        <v>2.0271727906875352</v>
      </c>
      <c r="I79" s="49">
        <f>'Input data'!I33+I42-(I$12-H$12)/'Input data'!$C$64*100</f>
        <v>1.876198540687535</v>
      </c>
      <c r="J79" s="49">
        <f>'Input data'!J33+J42-(J$12-I$12)/'Input data'!$C$64*100</f>
        <v>1.8711972906875356</v>
      </c>
      <c r="K79" s="49">
        <f>'Input data'!K33+K42-(K$12-J$12)/'Input data'!$C$64*100</f>
        <v>3.7878439999999998</v>
      </c>
      <c r="L79" s="49">
        <f>'Input data'!L33+L42-(L$12-K$12)/'Input data'!$C$64*100</f>
        <v>3.7416337500000001</v>
      </c>
      <c r="M79" s="49">
        <f>'Input data'!M33+M42-(M$12-L$12)/'Input data'!$C$64*100</f>
        <v>3.6832134999999999</v>
      </c>
      <c r="N79" s="49">
        <f>'Input data'!N33+N42-(N$12-M$12)/'Input data'!$C$64*100</f>
        <v>3.61907025</v>
      </c>
      <c r="O79" s="49">
        <f>'Input data'!O33+O42-(O$12-N$12)/'Input data'!$C$64*100</f>
        <v>3.5865229999999997</v>
      </c>
      <c r="P79" s="49">
        <f>'Input data'!P33+P42-(P$12-O$12)/'Input data'!$C$64*100</f>
        <v>3.6056159999999999</v>
      </c>
      <c r="Q79" s="49">
        <f>'Input data'!Q33+Q42-(Q$12-P$12)/'Input data'!$C$64*100</f>
        <v>3.6247079999999996</v>
      </c>
      <c r="R79" s="49">
        <f>'Input data'!R33+R42-(R$12-Q$12)/'Input data'!$C$64*100</f>
        <v>3.6438009999999998</v>
      </c>
      <c r="S79" s="49">
        <f>'Input data'!S33+S42-(S$12-R$12)/'Input data'!$C$64*100</f>
        <v>3.7872949999999999</v>
      </c>
      <c r="T79" s="49">
        <f>'Input data'!T33+T42-(T$12-S$12)/'Input data'!$C$64*100</f>
        <v>3.8433359999999999</v>
      </c>
      <c r="U79" s="49">
        <f>'Input data'!U33+U42-(U$12-T$12)/'Input data'!$C$64*100</f>
        <v>3.912655</v>
      </c>
      <c r="V79" s="49">
        <f>'Input data'!V33+V42-(V$12-U$12)/'Input data'!$C$64*100</f>
        <v>3.9992390000000002</v>
      </c>
      <c r="W79" s="49">
        <f>'Input data'!W33+W42-(W$12-V$12)/'Input data'!$C$64*100</f>
        <v>3.8933260000000001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2.047143165687535</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116.8408</v>
      </c>
      <c r="D92" s="110">
        <f>D57</f>
        <v>111.62002928145338</v>
      </c>
      <c r="E92" s="110">
        <f>E57</f>
        <v>107.65412775375809</v>
      </c>
      <c r="F92" s="110">
        <f>F57</f>
        <v>105.5099779146238</v>
      </c>
      <c r="G92" s="110">
        <f>G57</f>
        <v>104.97907714628217</v>
      </c>
      <c r="H92" s="110">
        <f t="shared" ref="H92:W92" si="32">G92*(1+H106/100)*H43-H60-H61+H62+H63+H64+H65+H66+H72</f>
        <v>103.74121471198744</v>
      </c>
      <c r="I92" s="110">
        <f t="shared" si="32"/>
        <v>101.94036868200993</v>
      </c>
      <c r="J92" s="110">
        <f t="shared" si="32"/>
        <v>99.414459074779984</v>
      </c>
      <c r="K92" s="110">
        <f t="shared" si="32"/>
        <v>96.170147465660406</v>
      </c>
      <c r="L92" s="110">
        <f t="shared" si="32"/>
        <v>93.018638969876136</v>
      </c>
      <c r="M92" s="110">
        <f t="shared" si="32"/>
        <v>90.007057094889305</v>
      </c>
      <c r="N92" s="110">
        <f t="shared" si="32"/>
        <v>87.770455071440082</v>
      </c>
      <c r="O92" s="110">
        <f t="shared" si="32"/>
        <v>85.896902520804105</v>
      </c>
      <c r="P92" s="110">
        <f t="shared" si="32"/>
        <v>84.320118533898082</v>
      </c>
      <c r="Q92" s="110">
        <f t="shared" si="32"/>
        <v>83.015360076418162</v>
      </c>
      <c r="R92" s="110">
        <f t="shared" si="32"/>
        <v>81.957025752459714</v>
      </c>
      <c r="S92" s="110">
        <f t="shared" si="32"/>
        <v>81.023445472416014</v>
      </c>
      <c r="T92" s="110">
        <f t="shared" si="32"/>
        <v>80.276386740036912</v>
      </c>
      <c r="U92" s="110">
        <f t="shared" si="32"/>
        <v>79.69673458743226</v>
      </c>
      <c r="V92" s="110">
        <f t="shared" si="32"/>
        <v>79.245422907480503</v>
      </c>
      <c r="W92" s="110">
        <f t="shared" si="32"/>
        <v>79.100730778663817</v>
      </c>
    </row>
    <row r="93" spans="2:23" x14ac:dyDescent="0.2">
      <c r="B93" s="26" t="s">
        <v>127</v>
      </c>
      <c r="C93" s="34"/>
      <c r="D93" s="254">
        <f>'Input data'!C66*$D$92</f>
        <v>92.157855454020762</v>
      </c>
      <c r="E93" s="34">
        <f t="shared" ref="E93:W93" si="33">IF(E92=0,0,IF(E87=1,D92*E43/((1+E24/100)*(1+E42/100))-E94-E95,IF(AND(E87=0,E88=1),(1-D98-E39*D99)*D92*E43/((1+E24/100)*(1+E42/100)),E92)))</f>
        <v>86.713038149766305</v>
      </c>
      <c r="F93" s="34">
        <f t="shared" si="33"/>
        <v>87.011336345534914</v>
      </c>
      <c r="G93" s="34">
        <f t="shared" si="33"/>
        <v>86.674141426534916</v>
      </c>
      <c r="H93" s="34">
        <f t="shared" si="33"/>
        <v>86.664679004720313</v>
      </c>
      <c r="I93" s="34">
        <f t="shared" si="33"/>
        <v>85.537704013200184</v>
      </c>
      <c r="J93" s="34">
        <f t="shared" si="33"/>
        <v>83.896599959812335</v>
      </c>
      <c r="K93" s="34">
        <f t="shared" si="33"/>
        <v>81.214145865555579</v>
      </c>
      <c r="L93" s="34">
        <f t="shared" si="33"/>
        <v>78.581019983837692</v>
      </c>
      <c r="M93" s="34">
        <f t="shared" si="33"/>
        <v>76.031522667930489</v>
      </c>
      <c r="N93" s="34">
        <f t="shared" si="33"/>
        <v>73.900854726530568</v>
      </c>
      <c r="O93" s="34">
        <f t="shared" si="33"/>
        <v>72.070116162044926</v>
      </c>
      <c r="P93" s="34">
        <f t="shared" si="33"/>
        <v>70.522824928517295</v>
      </c>
      <c r="Q93" s="34">
        <f t="shared" si="33"/>
        <v>69.220552209134524</v>
      </c>
      <c r="R93" s="34">
        <f t="shared" si="33"/>
        <v>68.14276150330322</v>
      </c>
      <c r="S93" s="34">
        <f t="shared" si="33"/>
        <v>67.185654682024392</v>
      </c>
      <c r="T93" s="34">
        <f t="shared" si="33"/>
        <v>66.391118935101957</v>
      </c>
      <c r="U93" s="34">
        <f t="shared" si="33"/>
        <v>65.742057806441792</v>
      </c>
      <c r="V93" s="34">
        <f t="shared" si="33"/>
        <v>65.220208959904866</v>
      </c>
      <c r="W93" s="34">
        <f t="shared" si="33"/>
        <v>64.927306746894587</v>
      </c>
    </row>
    <row r="94" spans="2:23" x14ac:dyDescent="0.2">
      <c r="B94" s="105" t="s">
        <v>128</v>
      </c>
      <c r="C94" s="34"/>
      <c r="D94" s="254">
        <f>'Input data'!C67*$D$92</f>
        <v>6.6572250300998093</v>
      </c>
      <c r="E94" s="34">
        <f t="shared" ref="E94:W94" si="34">IF(E92=0,0,IF(E87=1,E39*D92*D99*E43/((1+E24/100)*(1+E42/100)),IF(AND(E87=0,E88=1),(E39*D92*D99*E43/((1+E24/100)*(1+E42/100)))*(1-ABS(E92-D92*E43/((1+E24/100)*(1+E42/100)))/((E39*D92*D99*E43/((1+E24/100)*(1+E42/100)))+(D98*D92*E43/((1+E24/100)*(1+E42/100))))),0)))</f>
        <v>9.0521709577617173</v>
      </c>
      <c r="F94" s="34">
        <f t="shared" si="34"/>
        <v>8.1018922360868402</v>
      </c>
      <c r="G94" s="34">
        <f t="shared" si="34"/>
        <v>8.0987933404520014</v>
      </c>
      <c r="H94" s="34">
        <f t="shared" si="34"/>
        <v>8.1262213509330703</v>
      </c>
      <c r="I94" s="34">
        <f t="shared" si="34"/>
        <v>8.048509850189669</v>
      </c>
      <c r="J94" s="34">
        <f t="shared" si="34"/>
        <v>7.9215339019974236</v>
      </c>
      <c r="K94" s="34">
        <f t="shared" si="34"/>
        <v>7.6948352225601857</v>
      </c>
      <c r="L94" s="34">
        <f t="shared" si="34"/>
        <v>7.4710860077188768</v>
      </c>
      <c r="M94" s="34">
        <f t="shared" si="34"/>
        <v>7.2536055276542992</v>
      </c>
      <c r="N94" s="34">
        <f t="shared" si="34"/>
        <v>7.0745634331951903</v>
      </c>
      <c r="O94" s="34">
        <f t="shared" si="34"/>
        <v>6.9229490779067548</v>
      </c>
      <c r="P94" s="34">
        <f t="shared" si="34"/>
        <v>6.7743185637791186</v>
      </c>
      <c r="Q94" s="34">
        <f t="shared" si="34"/>
        <v>6.649224166795447</v>
      </c>
      <c r="R94" s="34">
        <f t="shared" si="34"/>
        <v>6.5456931809935845</v>
      </c>
      <c r="S94" s="34">
        <f t="shared" si="34"/>
        <v>6.4537549111712851</v>
      </c>
      <c r="T94" s="34">
        <f t="shared" si="34"/>
        <v>6.377432979010762</v>
      </c>
      <c r="U94" s="34">
        <f t="shared" si="34"/>
        <v>6.3150851241514765</v>
      </c>
      <c r="V94" s="34">
        <f t="shared" si="34"/>
        <v>6.2649570935150818</v>
      </c>
      <c r="W94" s="34">
        <f t="shared" si="34"/>
        <v>6.2368213388714091</v>
      </c>
    </row>
    <row r="95" spans="2:23" x14ac:dyDescent="0.2">
      <c r="B95" s="105" t="s">
        <v>129</v>
      </c>
      <c r="C95" s="34"/>
      <c r="D95" s="254">
        <f>'Input data'!C68*$D$92</f>
        <v>7.2591429731261297</v>
      </c>
      <c r="E95" s="34">
        <f t="shared" ref="E95:W95" si="35">IF(E92=0,0,IF(E87=1,(1-D99)*D92*E43/((1+E24/100)*(1+E42/100)),IF(AND(E87=0,E88=1),(D98*D92*E43/((1+E24/100)*(1+E42/100)))*(1-ABS(E92-D92*E43/((1+E24/100)*(1+E42/100)))/((E39*D92*D99*E43/((1+E24/100)*(1+E42/100)))+(D98*D92*E43/((1+E24/100)*(1+E42/100))))),0)))</f>
        <v>7.0350986971308531</v>
      </c>
      <c r="F95" s="34">
        <f t="shared" si="35"/>
        <v>6.9602121255570193</v>
      </c>
      <c r="G95" s="34">
        <f t="shared" si="35"/>
        <v>6.9167660376294169</v>
      </c>
      <c r="H95" s="34">
        <f t="shared" si="35"/>
        <v>6.9008213919165078</v>
      </c>
      <c r="I95" s="34">
        <f t="shared" si="35"/>
        <v>6.8027175673420741</v>
      </c>
      <c r="J95" s="34">
        <f t="shared" si="35"/>
        <v>6.6664918203224062</v>
      </c>
      <c r="K95" s="34">
        <f t="shared" si="35"/>
        <v>6.450756661780944</v>
      </c>
      <c r="L95" s="34">
        <f t="shared" si="35"/>
        <v>6.2395772389536797</v>
      </c>
      <c r="M95" s="34">
        <f t="shared" si="35"/>
        <v>6.035474844010011</v>
      </c>
      <c r="N95" s="34">
        <f t="shared" si="35"/>
        <v>5.8648284949668437</v>
      </c>
      <c r="O95" s="34">
        <f t="shared" si="35"/>
        <v>5.716857275133342</v>
      </c>
      <c r="P95" s="34">
        <f t="shared" si="35"/>
        <v>5.5885734997281862</v>
      </c>
      <c r="Q95" s="34">
        <f t="shared" si="35"/>
        <v>5.4787659612710646</v>
      </c>
      <c r="R95" s="34">
        <f t="shared" si="35"/>
        <v>5.3859122226178293</v>
      </c>
      <c r="S95" s="34">
        <f t="shared" si="35"/>
        <v>5.3019230349216286</v>
      </c>
      <c r="T95" s="34">
        <f t="shared" si="35"/>
        <v>5.2302160943283456</v>
      </c>
      <c r="U95" s="34">
        <f t="shared" si="35"/>
        <v>5.1694924336078492</v>
      </c>
      <c r="V95" s="34">
        <f t="shared" si="35"/>
        <v>5.1183609941047159</v>
      </c>
      <c r="W95" s="34">
        <f t="shared" si="35"/>
        <v>5.0849005975251353</v>
      </c>
    </row>
    <row r="96" spans="2:23" x14ac:dyDescent="0.2">
      <c r="B96" s="105" t="s">
        <v>130</v>
      </c>
      <c r="C96" s="34"/>
      <c r="D96" s="254">
        <f>'Input data'!C69*$D$92</f>
        <v>5.1662759242534131</v>
      </c>
      <c r="E96" s="34">
        <f>IF(E92=0,0,IF(E87=1,'Input data'!$C$58*(E92-D92*E43/((1+E24/100)*(1+E42/100))),0))</f>
        <v>4.5481690823205021</v>
      </c>
      <c r="F96" s="34">
        <f>IF(F92=0,0,IF(F87=1,'Input data'!$C$58*(F92-E92*F43/((1+F24/100)*(1+F42/100))),0))</f>
        <v>3.2201343356475656</v>
      </c>
      <c r="G96" s="34">
        <f>IF(G92=0,0,IF(G87=1,'Input data'!$C$58*(G92-F92*G43/((1+G24/100)*(1+G42/100))),0))</f>
        <v>3.0822403661795215</v>
      </c>
      <c r="H96" s="34">
        <f>IF(H92=0,0,IF(H87=1,'Input data'!$C$58*(H92-G92*H43/((1+H24/100)*(1+H42/100))),0))</f>
        <v>1.9204339330566222</v>
      </c>
      <c r="I96" s="34">
        <f>IF(I92=0,0,IF(I87=1,'Input data'!$C$58*(I92-H92*I43/((1+I24/100)*(1+I42/100))),0))</f>
        <v>1.4537413858403254</v>
      </c>
      <c r="J96" s="34">
        <f>IF(J92=0,0,IF(J87=1,'Input data'!$C$58*(J92-I92*J43/((1+J24/100)*(1+J42/100))),0))</f>
        <v>0.87128066811271765</v>
      </c>
      <c r="K96" s="34">
        <f>IF(K92=0,0,IF(K87=1,'Input data'!$C$58*(K92-J92*K43/((1+K24/100)*(1+K42/100))),0))</f>
        <v>0.75937724347039826</v>
      </c>
      <c r="L96" s="34">
        <f>IF(L92=0,0,IF(L87=1,'Input data'!$C$58*(L92-K92*L43/((1+L24/100)*(1+L42/100))),0))</f>
        <v>0.68117846411112071</v>
      </c>
      <c r="M96" s="34">
        <f>IF(M92=0,0,IF(M87=1,'Input data'!$C$58*(M92-L92*M43/((1+M24/100)*(1+M42/100))),0))</f>
        <v>0.6432272196877431</v>
      </c>
      <c r="N96" s="34">
        <f>IF(N92=0,0,IF(N87=1,'Input data'!$C$58*(N92-M92*N43/((1+N24/100)*(1+N42/100))),0))</f>
        <v>0.87163207649478736</v>
      </c>
      <c r="O96" s="34">
        <f>IF(O92=0,0,IF(O87=1,'Input data'!$C$58*(O92-N92*O43/((1+O24/100)*(1+O42/100))),0))</f>
        <v>1.1122344503829547</v>
      </c>
      <c r="P96" s="34">
        <f>IF(P92=0,0,IF(P87=1,'Input data'!$C$58*(P92-O92*P43/((1+P24/100)*(1+P42/100))),0))</f>
        <v>1.3440755554998605</v>
      </c>
      <c r="Q96" s="34">
        <f>IF(Q92=0,0,IF(Q87=1,'Input data'!$C$58*(Q92-P92*Q43/((1+Q24/100)*(1+Q42/100))),0))</f>
        <v>1.5618562259973336</v>
      </c>
      <c r="R96" s="34">
        <f>IF(R92=0,0,IF(R87=1,'Input data'!$C$58*(R92-Q92*R43/((1+R24/100)*(1+R42/100))),0))</f>
        <v>1.7641055588504919</v>
      </c>
      <c r="S96" s="34">
        <f>IF(S92=0,0,IF(S87=1,'Input data'!$C$58*(S92-R92*S43/((1+S24/100)*(1+S42/100))),0))</f>
        <v>1.9509996999578034</v>
      </c>
      <c r="T96" s="34">
        <f>IF(T92=0,0,IF(T87=1,'Input data'!$C$58*(T92-S92*T43/((1+T24/100)*(1+T42/100))),0))</f>
        <v>2.1341943469247822</v>
      </c>
      <c r="U96" s="34">
        <f>IF(U92=0,0,IF(U87=1,'Input data'!$C$58*(U92-T92*U43/((1+U24/100)*(1+U42/100))),0))</f>
        <v>2.3145541110252119</v>
      </c>
      <c r="V96" s="34">
        <f>IF(V92=0,0,IF(V87=1,'Input data'!$C$58*(V92-U92*V43/((1+V24/100)*(1+V42/100))),0))</f>
        <v>2.4755325073793868</v>
      </c>
      <c r="W96" s="34">
        <f>IF(W92=0,0,IF(W87=1,'Input data'!$C$58*(W92-V92*W43/((1+W24/100)*(1+W42/100))),0))</f>
        <v>2.6721269923845545</v>
      </c>
    </row>
    <row r="97" spans="2:25" x14ac:dyDescent="0.2">
      <c r="B97" s="107" t="s">
        <v>131</v>
      </c>
      <c r="C97" s="49"/>
      <c r="D97" s="255">
        <f>'Input data'!C70*$D$92</f>
        <v>0.37952439985328523</v>
      </c>
      <c r="E97" s="49">
        <f>IF(E92=0,0,IF(E87=1,'Input data'!$C$57*(E92-D92*E43/((1+E24/100)*(1+E42/100))),0))</f>
        <v>0.30565086677871672</v>
      </c>
      <c r="F97" s="49">
        <f>IF(F92=0,0,IF(F87=1,'Input data'!$C$57*(F92-E92*F43/((1+F24/100)*(1+F42/100))),0))</f>
        <v>0.21640287179746234</v>
      </c>
      <c r="G97" s="49">
        <f>IF(G92=0,0,IF(G87=1,'Input data'!$C$57*(G92-F92*G43/((1+G24/100)*(1+G42/100))),0))</f>
        <v>0.20713597548630724</v>
      </c>
      <c r="H97" s="49">
        <f>IF(H92=0,0,IF(H87=1,'Input data'!$C$57*(H92-G92*H43/((1+H24/100)*(1+H42/100))),0))</f>
        <v>0.12905903136093061</v>
      </c>
      <c r="I97" s="49">
        <f>IF(I92=0,0,IF(I87=1,'Input data'!$C$57*(I92-H92*I43/((1+I24/100)*(1+I42/100))),0))</f>
        <v>9.7695865437677373E-2</v>
      </c>
      <c r="J97" s="49">
        <f>IF(J92=0,0,IF(J87=1,'Input data'!$C$57*(J92-I92*J43/((1+J24/100)*(1+J42/100))),0))</f>
        <v>5.8552724535104544E-2</v>
      </c>
      <c r="K97" s="49">
        <f>IF(K92=0,0,IF(K87=1,'Input data'!$C$57*(K92-J92*K43/((1+K24/100)*(1+K42/100))),0))</f>
        <v>5.1032472293298929E-2</v>
      </c>
      <c r="L97" s="49">
        <f>IF(L92=0,0,IF(L87=1,'Input data'!$C$57*(L92-K92*L43/((1+L24/100)*(1+L42/100))),0))</f>
        <v>4.5777275254756528E-2</v>
      </c>
      <c r="M97" s="49">
        <f>IF(M92=0,0,IF(M87=1,'Input data'!$C$57*(M92-L92*M43/((1+M24/100)*(1+M42/100))),0))</f>
        <v>4.3226835606761299E-2</v>
      </c>
      <c r="N97" s="49">
        <f>IF(N92=0,0,IF(N87=1,'Input data'!$C$57*(N92-M92*N43/((1+N24/100)*(1+N42/100))),0))</f>
        <v>5.8576340252688666E-2</v>
      </c>
      <c r="O97" s="49">
        <f>IF(O92=0,0,IF(O87=1,'Input data'!$C$57*(O92-N92*O43/((1+O24/100)*(1+O42/100))),0))</f>
        <v>7.474555533613815E-2</v>
      </c>
      <c r="P97" s="49">
        <f>IF(P92=0,0,IF(P87=1,'Input data'!$C$57*(P92-O92*P43/((1+P24/100)*(1+P42/100))),0))</f>
        <v>9.0325986373623546E-2</v>
      </c>
      <c r="Q97" s="49">
        <f>IF(Q92=0,0,IF(Q87=1,'Input data'!$C$57*(Q92-P92*Q43/((1+Q24/100)*(1+Q42/100))),0))</f>
        <v>0.1049615132197893</v>
      </c>
      <c r="R97" s="49">
        <f>IF(R92=0,0,IF(R87=1,'Input data'!$C$57*(R92-Q92*R43/((1+R24/100)*(1+R42/100))),0))</f>
        <v>0.11855328669458837</v>
      </c>
      <c r="S97" s="49">
        <f>IF(S92=0,0,IF(S87=1,'Input data'!$C$57*(S92-R92*S43/((1+S24/100)*(1+S42/100))),0))</f>
        <v>0.13111314434090268</v>
      </c>
      <c r="T97" s="49">
        <f>IF(T92=0,0,IF(T87=1,'Input data'!$C$57*(T92-S92*T43/((1+T24/100)*(1+T42/100))),0))</f>
        <v>0.14342438467106866</v>
      </c>
      <c r="U97" s="49">
        <f>IF(U92=0,0,IF(U87=1,'Input data'!$C$57*(U92-T92*U43/((1+U24/100)*(1+U42/100))),0))</f>
        <v>0.15554511220593309</v>
      </c>
      <c r="V97" s="49">
        <f>IF(V92=0,0,IF(V87=1,'Input data'!$C$57*(V92-U92*V43/((1+V24/100)*(1+V42/100))),0))</f>
        <v>0.16636335257645107</v>
      </c>
      <c r="W97" s="49">
        <f>IF(W92=0,0,IF(W87=1,'Input data'!$C$57*(W92-V92*W43/((1+W24/100)*(1+W42/100))),0))</f>
        <v>0.17957510298813256</v>
      </c>
    </row>
    <row r="98" spans="2:25" x14ac:dyDescent="0.2">
      <c r="B98" s="26" t="s">
        <v>73</v>
      </c>
      <c r="C98" s="36"/>
      <c r="D98" s="260">
        <f>'Baseline NFPC'!$D$93</f>
        <v>6.8434607321399721E-2</v>
      </c>
      <c r="E98" s="36">
        <f t="shared" ref="E98:W98" si="36">IF(E92&lt;&gt;0,(E95+E97)/(E93+E94+E95+E96+E97),0)</f>
        <v>6.8188277747234932E-2</v>
      </c>
      <c r="F98" s="36">
        <f t="shared" si="36"/>
        <v>6.8018353706429835E-2</v>
      </c>
      <c r="G98" s="36">
        <f t="shared" si="36"/>
        <v>6.7860208022108875E-2</v>
      </c>
      <c r="H98" s="36">
        <f t="shared" si="36"/>
        <v>6.7763621650220818E-2</v>
      </c>
      <c r="I98" s="36">
        <f t="shared" si="36"/>
        <v>6.7690685466370221E-2</v>
      </c>
      <c r="J98" s="36">
        <f t="shared" si="36"/>
        <v>6.7646543646119967E-2</v>
      </c>
      <c r="K98" s="36">
        <f t="shared" si="36"/>
        <v>6.760714530874401E-2</v>
      </c>
      <c r="L98" s="36">
        <f t="shared" si="36"/>
        <v>6.7570914644794297E-2</v>
      </c>
      <c r="M98" s="36">
        <f t="shared" si="36"/>
        <v>6.7535834142519999E-2</v>
      </c>
      <c r="N98" s="36">
        <f t="shared" si="36"/>
        <v>6.7487457258803354E-2</v>
      </c>
      <c r="O98" s="36">
        <f t="shared" si="36"/>
        <v>6.7425048639754639E-2</v>
      </c>
      <c r="P98" s="36">
        <f t="shared" si="36"/>
        <v>6.7349282529990728E-2</v>
      </c>
      <c r="Q98" s="36">
        <f t="shared" si="36"/>
        <v>6.7261377525205737E-2</v>
      </c>
      <c r="R98" s="36">
        <f t="shared" si="36"/>
        <v>6.7162826600588491E-2</v>
      </c>
      <c r="S98" s="36">
        <f t="shared" si="36"/>
        <v>6.7055111611023482E-2</v>
      </c>
      <c r="T98" s="36">
        <f t="shared" si="36"/>
        <v>6.6939242001525887E-2</v>
      </c>
      <c r="U98" s="36">
        <f>IF(U92&lt;&gt;0,(U95+U97)/(U93+U94+U95+U96+U97),0)</f>
        <v>6.6816257571656046E-2</v>
      </c>
      <c r="V98" s="36">
        <f t="shared" si="36"/>
        <v>6.6688070462455784E-2</v>
      </c>
      <c r="W98" s="34">
        <f t="shared" si="36"/>
        <v>6.6554071608315377E-2</v>
      </c>
    </row>
    <row r="99" spans="2:25" x14ac:dyDescent="0.2">
      <c r="B99" s="35" t="s">
        <v>74</v>
      </c>
      <c r="C99" s="108"/>
      <c r="D99" s="261">
        <f>'Baseline NFPC'!$D$94</f>
        <v>0.93156539267860028</v>
      </c>
      <c r="E99" s="108">
        <f t="shared" ref="E99:W99" si="37">IF(E92&lt;&gt;0,(E93+E94+E96)/(E93+E94+E95+E96+E97),1)</f>
        <v>0.9318117222527651</v>
      </c>
      <c r="F99" s="108">
        <f t="shared" si="37"/>
        <v>0.93198164629357017</v>
      </c>
      <c r="G99" s="108">
        <f t="shared" si="37"/>
        <v>0.9321397919778911</v>
      </c>
      <c r="H99" s="108">
        <f t="shared" si="37"/>
        <v>0.93223637834977924</v>
      </c>
      <c r="I99" s="108">
        <f t="shared" si="37"/>
        <v>0.93230931453362986</v>
      </c>
      <c r="J99" s="108">
        <f t="shared" si="37"/>
        <v>0.93235345635388001</v>
      </c>
      <c r="K99" s="108">
        <f t="shared" si="37"/>
        <v>0.93239285469125599</v>
      </c>
      <c r="L99" s="108">
        <f t="shared" si="37"/>
        <v>0.93242908535520574</v>
      </c>
      <c r="M99" s="108">
        <f t="shared" si="37"/>
        <v>0.93246416585748004</v>
      </c>
      <c r="N99" s="108">
        <f t="shared" si="37"/>
        <v>0.93251254274119666</v>
      </c>
      <c r="O99" s="108">
        <f t="shared" si="37"/>
        <v>0.93257495136024549</v>
      </c>
      <c r="P99" s="108">
        <f t="shared" si="37"/>
        <v>0.93265071747000927</v>
      </c>
      <c r="Q99" s="108">
        <f t="shared" si="37"/>
        <v>0.93273862247479422</v>
      </c>
      <c r="R99" s="108">
        <f t="shared" si="37"/>
        <v>0.93283717339941141</v>
      </c>
      <c r="S99" s="108">
        <f t="shared" si="37"/>
        <v>0.93294488838897649</v>
      </c>
      <c r="T99" s="108">
        <f t="shared" si="37"/>
        <v>0.93306075799847421</v>
      </c>
      <c r="U99" s="108">
        <f t="shared" si="37"/>
        <v>0.93318374242834412</v>
      </c>
      <c r="V99" s="108">
        <f t="shared" si="37"/>
        <v>0.93331192953754416</v>
      </c>
      <c r="W99" s="49">
        <f t="shared" si="37"/>
        <v>0.93344592839168461</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1.94496</v>
      </c>
      <c r="D101" s="115">
        <f>'Baseline NFPC'!D96</f>
        <v>2.2273139999999998</v>
      </c>
      <c r="E101" s="115">
        <f>'Baseline NFPC'!E96</f>
        <v>2.3933339999999999</v>
      </c>
      <c r="F101" s="115">
        <f>'Baseline NFPC'!F96</f>
        <v>2.4819740000000001</v>
      </c>
      <c r="G101" s="115">
        <f>'Baseline NFPC'!G96</f>
        <v>2.5283959999999999</v>
      </c>
      <c r="H101" s="115">
        <f t="shared" ref="H101:W101" si="38">H103+H104</f>
        <v>2.6361246787580406</v>
      </c>
      <c r="I101" s="115">
        <f t="shared" si="38"/>
        <v>2.73386480148549</v>
      </c>
      <c r="J101" s="115">
        <f>J103+J104</f>
        <v>2.8287631783892073</v>
      </c>
      <c r="K101" s="115">
        <f t="shared" si="38"/>
        <v>2.919841613953964</v>
      </c>
      <c r="L101" s="115">
        <f t="shared" si="38"/>
        <v>3.0117876140919071</v>
      </c>
      <c r="M101" s="115">
        <f t="shared" si="38"/>
        <v>3.1047909003314378</v>
      </c>
      <c r="N101" s="115">
        <f t="shared" si="38"/>
        <v>3.1991376501506701</v>
      </c>
      <c r="O101" s="115">
        <f t="shared" si="38"/>
        <v>3.2976764870007291</v>
      </c>
      <c r="P101" s="115">
        <f t="shared" si="38"/>
        <v>3.386346459134653</v>
      </c>
      <c r="Q101" s="115">
        <f t="shared" si="38"/>
        <v>3.4667137957330088</v>
      </c>
      <c r="R101" s="115">
        <f t="shared" si="38"/>
        <v>3.5389604010391911</v>
      </c>
      <c r="S101" s="115">
        <f t="shared" si="38"/>
        <v>3.6033241767476585</v>
      </c>
      <c r="T101" s="115">
        <f t="shared" si="38"/>
        <v>3.660127341840929</v>
      </c>
      <c r="U101" s="115">
        <f t="shared" si="38"/>
        <v>3.7098002215836239</v>
      </c>
      <c r="V101" s="115">
        <f t="shared" si="38"/>
        <v>3.752788578730923</v>
      </c>
      <c r="W101" s="115">
        <f t="shared" si="38"/>
        <v>3.7894773848470824</v>
      </c>
    </row>
    <row r="102" spans="2:25" x14ac:dyDescent="0.2">
      <c r="B102" s="33" t="s">
        <v>133</v>
      </c>
      <c r="C102" s="34"/>
      <c r="D102" s="34"/>
      <c r="E102" s="266">
        <f>((E36*D92)-(E38*(D95+D97)))/(D93+D94+D96)</f>
        <v>2.3171786788845403</v>
      </c>
      <c r="F102" s="266">
        <f>((F36*E92)-(F38*(E95+E97)))/(E93+E94+E96)</f>
        <v>2.4027780950578612</v>
      </c>
      <c r="G102" s="266">
        <f>((G36*F92)-(G38*(F95+F97)))/(F93+F94+F96)</f>
        <v>2.5073785716419161</v>
      </c>
      <c r="H102" s="34">
        <f t="shared" ref="H102:W102" si="39">IF(G92&gt;0,(G102*G93+H37*(G96+G94))/(G93+G94+G96),H37)</f>
        <v>2.6238239707161251</v>
      </c>
      <c r="I102" s="34">
        <f t="shared" si="39"/>
        <v>2.7295078805118211</v>
      </c>
      <c r="J102" s="34">
        <f t="shared" si="39"/>
        <v>2.8321208187286797</v>
      </c>
      <c r="K102" s="34">
        <f t="shared" si="39"/>
        <v>2.9306238906160917</v>
      </c>
      <c r="L102" s="34">
        <f t="shared" si="39"/>
        <v>3.0300484076584624</v>
      </c>
      <c r="M102" s="34">
        <f t="shared" si="39"/>
        <v>3.130598767742458</v>
      </c>
      <c r="N102" s="34">
        <f t="shared" si="39"/>
        <v>3.2325818131391877</v>
      </c>
      <c r="O102" s="34">
        <f t="shared" si="39"/>
        <v>3.3390431355369272</v>
      </c>
      <c r="P102" s="34">
        <f t="shared" si="39"/>
        <v>3.4367077265927848</v>
      </c>
      <c r="Q102" s="34">
        <f t="shared" si="39"/>
        <v>3.5254395805273986</v>
      </c>
      <c r="R102" s="34">
        <f t="shared" si="39"/>
        <v>3.6054318148635169</v>
      </c>
      <c r="S102" s="34">
        <f t="shared" si="39"/>
        <v>3.6769391443030894</v>
      </c>
      <c r="T102" s="34">
        <f t="shared" si="39"/>
        <v>3.740307844070371</v>
      </c>
      <c r="U102" s="34">
        <f t="shared" si="39"/>
        <v>3.7960003861066274</v>
      </c>
      <c r="V102" s="34">
        <f t="shared" si="39"/>
        <v>3.8444964263444175</v>
      </c>
      <c r="W102" s="34">
        <f t="shared" si="39"/>
        <v>3.8862123203226617</v>
      </c>
    </row>
    <row r="103" spans="2:25" x14ac:dyDescent="0.2">
      <c r="B103" s="26" t="s">
        <v>134</v>
      </c>
      <c r="C103" s="34"/>
      <c r="D103" s="34"/>
      <c r="E103" s="34">
        <f t="shared" ref="E103:W103" si="40">(E102*(D93+D94+D96)+E38*(D95+D97))/D92</f>
        <v>2.3933340000000003</v>
      </c>
      <c r="F103" s="34">
        <f t="shared" si="40"/>
        <v>2.4819740000000001</v>
      </c>
      <c r="G103" s="34">
        <f t="shared" si="40"/>
        <v>2.5283959999999999</v>
      </c>
      <c r="H103" s="34">
        <f t="shared" si="40"/>
        <v>2.6361246787580406</v>
      </c>
      <c r="I103" s="34">
        <f t="shared" si="40"/>
        <v>2.73386480148549</v>
      </c>
      <c r="J103" s="34">
        <f t="shared" si="40"/>
        <v>2.8287631783892073</v>
      </c>
      <c r="K103" s="34">
        <f t="shared" si="40"/>
        <v>2.919841613953964</v>
      </c>
      <c r="L103" s="34">
        <f t="shared" si="40"/>
        <v>3.0117876140919071</v>
      </c>
      <c r="M103" s="34">
        <f t="shared" si="40"/>
        <v>3.1047909003314378</v>
      </c>
      <c r="N103" s="34">
        <f t="shared" si="40"/>
        <v>3.1991376501506701</v>
      </c>
      <c r="O103" s="34">
        <f t="shared" si="40"/>
        <v>3.2976764870007291</v>
      </c>
      <c r="P103" s="34">
        <f t="shared" si="40"/>
        <v>3.386346459134653</v>
      </c>
      <c r="Q103" s="34">
        <f t="shared" si="40"/>
        <v>3.4667137957330088</v>
      </c>
      <c r="R103" s="34">
        <f t="shared" si="40"/>
        <v>3.5389604010391911</v>
      </c>
      <c r="S103" s="34">
        <f t="shared" si="40"/>
        <v>3.6033241767476585</v>
      </c>
      <c r="T103" s="34">
        <f t="shared" si="40"/>
        <v>3.660127341840929</v>
      </c>
      <c r="U103" s="34">
        <f t="shared" si="40"/>
        <v>3.7098002215836239</v>
      </c>
      <c r="V103" s="34">
        <f t="shared" si="40"/>
        <v>3.752788578730923</v>
      </c>
      <c r="W103" s="34">
        <f t="shared" si="40"/>
        <v>3.7894773848470824</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-6.6690978814935242</v>
      </c>
      <c r="D106" s="115">
        <f t="shared" si="41"/>
        <v>-7.194321736264941</v>
      </c>
      <c r="E106" s="115">
        <f t="shared" si="41"/>
        <v>-5.697334787438213</v>
      </c>
      <c r="F106" s="115">
        <f t="shared" si="41"/>
        <v>-2.8305935414681183</v>
      </c>
      <c r="G106" s="115">
        <f t="shared" si="41"/>
        <v>-1.1839247881014203</v>
      </c>
      <c r="H106" s="115">
        <f t="shared" si="41"/>
        <v>-0.57786260077836715</v>
      </c>
      <c r="I106" s="115">
        <f t="shared" si="41"/>
        <v>-0.58586707507780611</v>
      </c>
      <c r="J106" s="115">
        <f t="shared" si="41"/>
        <v>-0.65709608555241106</v>
      </c>
      <c r="K106" s="115">
        <f t="shared" si="41"/>
        <v>-1.2778503559012999</v>
      </c>
      <c r="L106" s="115">
        <f t="shared" si="41"/>
        <v>-1.142594432611288</v>
      </c>
      <c r="M106" s="115">
        <f t="shared" si="41"/>
        <v>-0.99422866774724339</v>
      </c>
      <c r="N106" s="115">
        <f t="shared" si="41"/>
        <v>-0.43182326645004876</v>
      </c>
      <c r="O106" s="115">
        <f t="shared" si="41"/>
        <v>-0.30428617374855804</v>
      </c>
      <c r="P106" s="115">
        <f t="shared" si="41"/>
        <v>-0.23794570036120843</v>
      </c>
      <c r="Q106" s="115">
        <f t="shared" si="41"/>
        <v>-0.17961912233876998</v>
      </c>
      <c r="R106" s="115">
        <f t="shared" si="41"/>
        <v>-0.12912433697368497</v>
      </c>
      <c r="S106" s="115">
        <f t="shared" si="41"/>
        <v>-0.20886677955309629</v>
      </c>
      <c r="T106" s="115">
        <f t="shared" si="41"/>
        <v>-0.20959764029874206</v>
      </c>
      <c r="U106" s="115">
        <f t="shared" si="41"/>
        <v>-0.23020154926942649</v>
      </c>
      <c r="V106" s="115">
        <f t="shared" si="41"/>
        <v>-0.27408792479873823</v>
      </c>
      <c r="W106" s="115">
        <f t="shared" si="41"/>
        <v>-0.13496618750507006</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116.84076690673828</v>
      </c>
      <c r="D113" s="34">
        <v>111.61799621582031</v>
      </c>
      <c r="E113" s="34">
        <v>107.65208435058594</v>
      </c>
      <c r="F113" s="34">
        <v>105.50792694091797</v>
      </c>
      <c r="G113" s="34">
        <v>104.97699737548828</v>
      </c>
      <c r="H113" s="34">
        <v>103.73914337158203</v>
      </c>
      <c r="I113" s="34">
        <v>101.93830108642578</v>
      </c>
      <c r="J113" s="34">
        <v>99.41241455078125</v>
      </c>
      <c r="K113" s="34">
        <v>96.168121337890625</v>
      </c>
      <c r="L113" s="34">
        <v>93.016632080078125</v>
      </c>
      <c r="M113" s="34">
        <v>90.00506591796875</v>
      </c>
      <c r="N113" s="34">
        <v>87.768470764160156</v>
      </c>
      <c r="O113" s="34">
        <v>85.894920349121094</v>
      </c>
      <c r="P113" s="34">
        <v>84.318130493164063</v>
      </c>
      <c r="Q113" s="34">
        <v>83.013359069824219</v>
      </c>
      <c r="R113" s="34">
        <v>81.955009460449219</v>
      </c>
      <c r="S113" s="34">
        <v>81.021415710449219</v>
      </c>
      <c r="T113" s="34">
        <v>80.274337768554688</v>
      </c>
      <c r="U113" s="34">
        <v>79.694679260253906</v>
      </c>
      <c r="V113" s="34">
        <v>79.243370056152344</v>
      </c>
      <c r="W113" s="34">
        <v>79.098655700683594</v>
      </c>
      <c r="X113" s="116"/>
      <c r="Y113" s="62"/>
    </row>
    <row r="114" spans="1:51" x14ac:dyDescent="0.2">
      <c r="B114" s="26" t="s">
        <v>132</v>
      </c>
      <c r="C114" s="1">
        <v>1.9449599981307983</v>
      </c>
      <c r="D114" s="1">
        <v>2.2273135185241699</v>
      </c>
      <c r="E114" s="1">
        <v>2.3933341503143311</v>
      </c>
      <c r="F114" s="1">
        <v>2.4819738864898682</v>
      </c>
      <c r="G114" s="1">
        <v>2.5283956527709961</v>
      </c>
      <c r="H114" s="1">
        <v>2.6361241340637207</v>
      </c>
      <c r="I114" s="1">
        <v>2.7338643074035645</v>
      </c>
      <c r="J114" s="1">
        <v>2.8287622928619385</v>
      </c>
      <c r="K114" s="1">
        <v>2.9198408126831055</v>
      </c>
      <c r="L114" s="1">
        <v>3.0117862224578857</v>
      </c>
      <c r="M114" s="1">
        <v>3.1047892570495605</v>
      </c>
      <c r="N114" s="1">
        <v>3.1991353034973145</v>
      </c>
      <c r="O114" s="1">
        <v>3.2976739406585693</v>
      </c>
      <c r="P114" s="1">
        <v>3.3863437175750732</v>
      </c>
      <c r="Q114" s="1">
        <v>3.4667110443115234</v>
      </c>
      <c r="R114" s="1">
        <v>3.5389578342437744</v>
      </c>
      <c r="S114" s="1">
        <v>3.6033215522766113</v>
      </c>
      <c r="T114" s="1">
        <v>3.6601247787475586</v>
      </c>
      <c r="U114" s="1">
        <v>3.7097978591918945</v>
      </c>
      <c r="V114" s="1">
        <v>3.75278639793396</v>
      </c>
      <c r="W114" s="1">
        <v>3.7894752025604248</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116.84076690673828</v>
      </c>
      <c r="D118" s="34">
        <v>111.61799621582031</v>
      </c>
      <c r="E118" s="34">
        <v>107.65208435058594</v>
      </c>
      <c r="F118" s="34">
        <v>105.50792694091797</v>
      </c>
      <c r="G118" s="34">
        <v>104.90052032470703</v>
      </c>
      <c r="H118" s="34">
        <v>103.93359375</v>
      </c>
      <c r="I118" s="34">
        <v>102.76080322265625</v>
      </c>
      <c r="J118" s="34">
        <v>101.22218322753906</v>
      </c>
      <c r="K118" s="34">
        <v>99.339599609375</v>
      </c>
      <c r="L118" s="34">
        <v>97.119529724121094</v>
      </c>
      <c r="M118" s="34">
        <v>94.566413879394531</v>
      </c>
      <c r="N118" s="34">
        <v>91.847892761230469</v>
      </c>
      <c r="O118" s="34">
        <v>89.315803527832031</v>
      </c>
      <c r="P118" s="34">
        <v>86.89923095703125</v>
      </c>
      <c r="Q118" s="34">
        <v>85.035758972167969</v>
      </c>
      <c r="R118" s="34">
        <v>83.416343688964844</v>
      </c>
      <c r="S118" s="34">
        <v>81.917694091796875</v>
      </c>
      <c r="T118" s="34">
        <v>80.60394287109375</v>
      </c>
      <c r="U118" s="34">
        <v>79.456588745117188</v>
      </c>
      <c r="V118" s="34">
        <v>78.437416076660156</v>
      </c>
      <c r="W118" s="34">
        <v>77.724159240722656</v>
      </c>
      <c r="X118" s="116"/>
      <c r="Y118" s="62"/>
    </row>
    <row r="119" spans="1:51" x14ac:dyDescent="0.2">
      <c r="B119" s="26" t="s">
        <v>132</v>
      </c>
      <c r="C119" s="1">
        <v>1.9449599981307983</v>
      </c>
      <c r="D119" s="1">
        <v>2.2273135185241699</v>
      </c>
      <c r="E119" s="1">
        <v>2.3933341503143311</v>
      </c>
      <c r="F119" s="1">
        <v>2.4819738864898682</v>
      </c>
      <c r="G119" s="1">
        <v>2.5283956527709961</v>
      </c>
      <c r="H119" s="1">
        <v>2.637753963470459</v>
      </c>
      <c r="I119" s="1">
        <v>2.7390584945678711</v>
      </c>
      <c r="J119" s="1">
        <v>2.8397426605224609</v>
      </c>
      <c r="K119" s="1">
        <v>2.9391319751739502</v>
      </c>
      <c r="L119" s="1">
        <v>3.0367598533630371</v>
      </c>
      <c r="M119" s="1">
        <v>3.1322636604309082</v>
      </c>
      <c r="N119" s="1">
        <v>3.2253100872039795</v>
      </c>
      <c r="O119" s="1">
        <v>3.3206055164337158</v>
      </c>
      <c r="P119" s="1">
        <v>3.4044411182403564</v>
      </c>
      <c r="Q119" s="1">
        <v>3.4788961410522461</v>
      </c>
      <c r="R119" s="1">
        <v>3.54606032371521</v>
      </c>
      <c r="S119" s="1">
        <v>3.6061561107635498</v>
      </c>
      <c r="T119" s="1">
        <v>3.6594641208648682</v>
      </c>
      <c r="U119" s="1">
        <v>3.7063605785369873</v>
      </c>
      <c r="V119" s="1">
        <v>3.7472281455993652</v>
      </c>
      <c r="W119" s="1">
        <v>3.7823798656463623</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-2.1969370000000001</v>
      </c>
      <c r="D12" s="2">
        <f>'Input data'!D13</f>
        <v>-2.3947409999999998</v>
      </c>
      <c r="E12" s="2">
        <f>'Input data'!E13</f>
        <v>-1.6308560000000001</v>
      </c>
      <c r="F12" s="2">
        <f>'Input data'!F13</f>
        <v>-0.84895830000000005</v>
      </c>
      <c r="G12" s="3">
        <f>'Adjust. no safeguard'!G12</f>
        <v>1.1041699999999932E-2</v>
      </c>
      <c r="H12" s="3">
        <f>'Adjust. no safeguard'!H12</f>
        <v>0.87104169999999992</v>
      </c>
      <c r="I12" s="3">
        <f>'Adjust. no safeguard'!I12</f>
        <v>1.7310417</v>
      </c>
      <c r="J12" s="3">
        <f>'Adjust. no safeguard'!J12</f>
        <v>2.5910416999999999</v>
      </c>
      <c r="K12" s="119">
        <f>'Adjust. no safeguard'!K12</f>
        <v>2.5910416999999999</v>
      </c>
      <c r="L12" s="119">
        <f>'Adjust. no safeguard'!L12</f>
        <v>2.5910416999999999</v>
      </c>
      <c r="M12" s="119">
        <f>'Adjust. no safeguard'!M12</f>
        <v>2.5910416999999999</v>
      </c>
      <c r="N12" s="119">
        <f>IF(N10&lt;=$C$6,M12+'Criteria results'!$F$6,M12)</f>
        <v>2.5910416999999999</v>
      </c>
      <c r="O12" s="119">
        <f>IF(O10&lt;=$C$6,N12+'Criteria results'!$F$6,N12)</f>
        <v>2.5910416999999999</v>
      </c>
      <c r="P12" s="119">
        <f>IF(P10&lt;=$C$6,O12+'Criteria results'!$F$6,O12)</f>
        <v>2.5910416999999999</v>
      </c>
      <c r="Q12" s="119">
        <f>IF(Q10&lt;=$C$6,P12+'Criteria results'!$F$6,P12)</f>
        <v>2.5910416999999999</v>
      </c>
      <c r="R12" s="119">
        <f>IF(R10&lt;=$C$6,Q12+'Criteria results'!$F$6,Q12)</f>
        <v>2.5910416999999999</v>
      </c>
      <c r="S12" s="119">
        <f>IF(S10&lt;=$C$6,R12+'Criteria results'!$F$6,R12)</f>
        <v>2.5910416999999999</v>
      </c>
      <c r="T12" s="119">
        <f>IF(T10&lt;=$C$6,S12+'Criteria results'!$F$6,S12)</f>
        <v>2.5910416999999999</v>
      </c>
      <c r="U12" s="119">
        <f>IF(U10&lt;=$C$6,T12+'Criteria results'!$F$6,T12)</f>
        <v>2.5910416999999999</v>
      </c>
      <c r="V12" s="119">
        <f>IF(V10&lt;=$C$6,U12+'Criteria results'!$F$6,U12)</f>
        <v>2.5910416999999999</v>
      </c>
      <c r="W12" s="119">
        <f>IF(W10&lt;=$C$6,V12+'Criteria results'!$F$6,V12)</f>
        <v>2.5910416999999999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-9.2449400000000001E-2</v>
      </c>
      <c r="D13" s="2">
        <f>'Input data'!D14</f>
        <v>-6.6846100000000006E-2</v>
      </c>
      <c r="E13" s="2">
        <f>'Input data'!E14</f>
        <v>0</v>
      </c>
      <c r="F13" s="2">
        <f>'Input data'!F14</f>
        <v>-0.18809000000000001</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1.03254E-2</v>
      </c>
      <c r="D14" s="2">
        <f>'Input data'!D15</f>
        <v>0.81181420000000004</v>
      </c>
      <c r="E14" s="2">
        <f>'Input data'!E15</f>
        <v>1.217482</v>
      </c>
      <c r="F14" s="2">
        <f>'Input data'!F15</f>
        <v>0.45447080000000001</v>
      </c>
      <c r="G14" s="2">
        <f>'Input data'!G15</f>
        <v>0.94</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22.788010000000003</v>
      </c>
      <c r="E17" s="101">
        <f>'Input data'!E20</f>
        <v>23.134040000000002</v>
      </c>
      <c r="F17" s="101">
        <f>'Input data'!F20</f>
        <v>23.198610000000002</v>
      </c>
      <c r="G17" s="101">
        <f>'Input data'!G20</f>
        <v>23.248739999999998</v>
      </c>
      <c r="H17" s="101">
        <f>'Input data'!H20</f>
        <v>23.324060000000006</v>
      </c>
      <c r="I17" s="101">
        <f>'Input data'!I20</f>
        <v>23.427720000000001</v>
      </c>
      <c r="J17" s="101">
        <f>'Input data'!J20</f>
        <v>23.512549999999997</v>
      </c>
      <c r="K17" s="101">
        <f>'Input data'!K20</f>
        <v>23.64058</v>
      </c>
      <c r="L17" s="101">
        <f>'Input data'!L20</f>
        <v>23.807760000000002</v>
      </c>
      <c r="M17" s="101">
        <f>'Input data'!M20</f>
        <v>24.019580000000001</v>
      </c>
      <c r="N17" s="101">
        <f>'Input data'!N20</f>
        <v>24.259330000000002</v>
      </c>
      <c r="O17" s="101">
        <f>'Input data'!O20</f>
        <v>24.501700000000003</v>
      </c>
      <c r="P17" s="101">
        <f>'Input data'!P20</f>
        <v>24.736699999999999</v>
      </c>
      <c r="Q17" s="101">
        <f>'Input data'!Q20</f>
        <v>24.956709999999998</v>
      </c>
      <c r="R17" s="101">
        <f>'Input data'!R20</f>
        <v>25.159790000000001</v>
      </c>
      <c r="S17" s="101">
        <f>'Input data'!S20</f>
        <v>25.349450000000001</v>
      </c>
      <c r="T17" s="101">
        <f>'Input data'!T20</f>
        <v>25.535530000000001</v>
      </c>
      <c r="U17" s="101">
        <f>'Input data'!U20</f>
        <v>25.718830000000001</v>
      </c>
      <c r="V17" s="101">
        <f>'Input data'!V20</f>
        <v>25.881730000000001</v>
      </c>
      <c r="W17" s="101">
        <f>'Input data'!W20</f>
        <v>26.077779999999997</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0.55616920000000003</v>
      </c>
      <c r="D18" s="101">
        <f>'Input data'!D26</f>
        <v>0.54702360000000005</v>
      </c>
      <c r="E18" s="101">
        <f>'Input data'!E26</f>
        <v>0.54794100000000001</v>
      </c>
      <c r="F18" s="101">
        <f>'Input data'!F26</f>
        <v>0.54885830000000002</v>
      </c>
      <c r="G18" s="101">
        <f>'Input data'!G26</f>
        <v>0.54977569999999998</v>
      </c>
      <c r="H18" s="101">
        <f>'Input data'!H26</f>
        <v>0.55069310000000005</v>
      </c>
      <c r="I18" s="101">
        <f>'Input data'!I26</f>
        <v>0.5516105</v>
      </c>
      <c r="J18" s="101">
        <f>'Input data'!J26</f>
        <v>0.55252780000000001</v>
      </c>
      <c r="K18" s="101">
        <f>'Input data'!K26</f>
        <v>0.55344519999999997</v>
      </c>
      <c r="L18" s="101">
        <f>'Input data'!L26</f>
        <v>0.55436260000000004</v>
      </c>
      <c r="M18" s="101">
        <f>'Input data'!M26</f>
        <v>0.55528</v>
      </c>
      <c r="N18" s="101">
        <f>'Input data'!N26</f>
        <v>0.55619730000000001</v>
      </c>
      <c r="O18" s="101">
        <f>'Input data'!O26</f>
        <v>0.55711469999999996</v>
      </c>
      <c r="P18" s="101">
        <f>'Input data'!P26</f>
        <v>0.55803210000000003</v>
      </c>
      <c r="Q18" s="101">
        <f>'Input data'!Q26</f>
        <v>0.55894949999999999</v>
      </c>
      <c r="R18" s="101">
        <f>'Input data'!R26</f>
        <v>0.5598668</v>
      </c>
      <c r="S18" s="101">
        <f>'Input data'!S26</f>
        <v>0.56078419999999995</v>
      </c>
      <c r="T18" s="101">
        <f>'Input data'!T26</f>
        <v>0.56170160000000002</v>
      </c>
      <c r="U18" s="101">
        <f>'Input data'!U26</f>
        <v>0.56261899999999998</v>
      </c>
      <c r="V18" s="101">
        <f>'Input data'!V26</f>
        <v>0.56353629999999999</v>
      </c>
      <c r="W18" s="101">
        <f>'Input data'!W26</f>
        <v>0.56445369999999995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1127.8630000000001</v>
      </c>
      <c r="D22" s="100">
        <f>'Baseline NFPC'!D22</f>
        <v>1192.94800365224</v>
      </c>
      <c r="E22" s="100">
        <f>'Baseline NFPC'!E22</f>
        <v>1222.8109994507863</v>
      </c>
      <c r="F22" s="100">
        <f>'Baseline NFPC'!F22</f>
        <v>1249.0368348338773</v>
      </c>
      <c r="G22" s="34">
        <f>IF(AND(G49&gt;1,F49&gt;1),IF(AND(G49&gt;0,F49&gt;0),G26*(G50/100+1),0)+IF(G49&gt;0,F22*(1+G51/100),0)-F22*(1+'Input data'!G30/100),IF(G49=1,G26,F22*(1+G51/100)))</f>
        <v>1266.3000102451149</v>
      </c>
      <c r="H22" s="34">
        <f>IF(AND(H49&gt;1,G49&gt;1),IF(AND(H49&gt;0,G49&gt;0),H26*(H50/100+1),0)+IF(H49&gt;0,G22*(1+H51/100),0)-G22*(1+'Input data'!H30/100),IF(H49=1,H26,G22*(1+H51/100)))</f>
        <v>1276.9926754143514</v>
      </c>
      <c r="I22" s="34">
        <f>IF(AND(I49&gt;1,H49&gt;1),IF(AND(I49&gt;0,H49&gt;0),I26*(I50/100+1),0)+IF(I49&gt;0,H22*(1+I51/100),0)-H22*(1+'Input data'!I30/100),IF(I49=1,I26,H22*(1+I51/100)))</f>
        <v>1288.7789121456826</v>
      </c>
      <c r="J22" s="34">
        <f>IF(AND(J49&gt;1,I49&gt;1),IF(AND(J49&gt;0,I49&gt;0),J26*(J50/100+1),0)+IF(J49&gt;0,I22*(1+J51/100),0)-I22*(1+'Input data'!J30/100),IF(J49=1,J26,I22*(1+J51/100)))</f>
        <v>1302.4786109935392</v>
      </c>
      <c r="K22" s="34">
        <f>IF(AND(K49&gt;1,J49&gt;1),IF(AND(K49&gt;0,J49&gt;0),K26*(K50/100+1),0)+IF(K49&gt;0,J22*(1+K51/100),0)-J22*(1+'Input data'!K30/100),IF(K49=1,K26,J22*(1+K51/100)))</f>
        <v>1325.4381028479847</v>
      </c>
      <c r="L22" s="34">
        <f>IF(AND(L49&gt;1,K49&gt;1),IF(AND(L49&gt;0,K49&gt;0),L26*(L50/100+1),0)+IF(L49&gt;0,K22*(1+L51/100),0)-K22*(1+'Input data'!L30/100),IF(L49=1,L26,K22*(1+L51/100)))</f>
        <v>1347.8186685915744</v>
      </c>
      <c r="M22" s="34">
        <f>IF(AND(M49&gt;1,L49&gt;1),IF(AND(M49&gt;0,L49&gt;0),M26*(M50/100+1),0)+IF(M49&gt;0,L22*(1+M51/100),0)-L22*(1+'Input data'!M30/100),IF(M49=1,M26,L22*(1+M51/100)))</f>
        <v>1369.4118645742244</v>
      </c>
      <c r="N22" s="34">
        <f>IF(AND(N49&gt;1,M49&gt;1),IF(AND(N49&gt;0,M49&gt;0),N26*(N50/100+1),0)+IF(N49&gt;0,M22*(1+N51/100),0)-M22*(1+'Input data'!N30/100),IF(N49=1,N26,M22*(1+N51/100)))</f>
        <v>1384.40734900899</v>
      </c>
      <c r="O22" s="34">
        <f>IF(AND(O49&gt;1,N49&gt;1),IF(AND(O49&gt;0,N49&gt;0),O26*(O50/100+1),0)+IF(O49&gt;0,N22*(1+O51/100),0)-N22*(1+'Input data'!O30/100),IF(O49=1,O26,N22*(1+O51/100)))</f>
        <v>1398.7570772833053</v>
      </c>
      <c r="P22" s="34">
        <f>IF(AND(P49&gt;1,O49&gt;1),IF(AND(P49&gt;0,O49&gt;0),P26*(P50/100+1),0)+IF(P49&gt;0,O22*(1+P51/100),0)-O22*(1+'Input data'!P30/100),IF(P49=1,P26,O22*(1+P51/100)))</f>
        <v>1413.9072250009224</v>
      </c>
      <c r="Q22" s="34">
        <f>IF(AND(Q49&gt;1,P49&gt;1),IF(AND(Q49&gt;0,P49&gt;0),Q26*(Q50/100+1),0)+IF(Q49&gt;0,P22*(1+Q51/100),0)-P22*(1+'Input data'!Q30/100),IF(Q49=1,Q26,P22*(1+Q51/100)))</f>
        <v>1429.8802480343359</v>
      </c>
      <c r="R22" s="34">
        <f>IF(AND(R49&gt;1,Q49&gt;1),IF(AND(R49&gt;0,Q49&gt;0),R26*(R50/100+1),0)+IF(R49&gt;0,Q22*(1+R51/100),0)-Q22*(1+'Input data'!R30/100),IF(R49=1,R26,Q22*(1+R51/100)))</f>
        <v>1446.6999579895687</v>
      </c>
      <c r="S22" s="34">
        <f>IF(AND(S49&gt;1,R49&gt;1),IF(AND(S49&gt;0,R49&gt;0),S26*(S50/100+1),0)+IF(S49&gt;0,R22*(1+S51/100),0)-R22*(1+'Input data'!S30/100),IF(S49=1,S26,R22*(1+S51/100)))</f>
        <v>1466.191288655564</v>
      </c>
      <c r="T22" s="34">
        <f>IF(AND(T49&gt;1,S49&gt;1),IF(AND(T49&gt;0,S49&gt;0),T26*(T50/100+1),0)+IF(T49&gt;0,S22*(1+T51/100),0)-S22*(1+'Input data'!T30/100),IF(T49=1,T26,S22*(1+T51/100)))</f>
        <v>1487.1700521186858</v>
      </c>
      <c r="U22" s="34">
        <f>IF(AND(U49&gt;1,T49&gt;1),IF(AND(U49&gt;0,T49&gt;0),U26*(U50/100+1),0)+IF(U49&gt;0,T22*(1+U51/100),0)-T22*(1+'Input data'!U30/100),IF(U49=1,U26,T22*(1+U51/100)))</f>
        <v>1509.8889243934811</v>
      </c>
      <c r="V22" s="34">
        <f>IF(AND(V49&gt;1,U49&gt;1),IF(AND(V49&gt;0,U49&gt;0),V26*(V50/100+1),0)+IF(V49&gt;0,U22*(1+V51/100),0)-U22*(1+'Input data'!V30/100),IF(V49=1,V26,U22*(1+V51/100)))</f>
        <v>1534.6773748208186</v>
      </c>
      <c r="W22" s="34">
        <f>IF(AND(W49&gt;1,V49&gt;1),IF(AND(W49&gt;0,V49&gt;0),W26*(W50/100+1),0)+IF(W49&gt;0,V22*(1+W51/100),0)-V22*(1+'Input data'!W30/100),IF(W49=1,W26,V22*(1+W51/100)))</f>
        <v>1558.6693238504149</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6.4031729999999998</v>
      </c>
      <c r="D23" s="100">
        <f>'Baseline NFPC'!D23</f>
        <v>5.7706480000000004</v>
      </c>
      <c r="E23" s="100">
        <f>'Baseline NFPC'!E23</f>
        <v>2.5032939999999999</v>
      </c>
      <c r="F23" s="100">
        <f>'Baseline NFPC'!F23</f>
        <v>2.144717</v>
      </c>
      <c r="G23" s="34">
        <f t="shared" ref="G23:T23" si="0">100*(G22/F22-1)</f>
        <v>1.3821190000000039</v>
      </c>
      <c r="H23" s="34">
        <f t="shared" si="0"/>
        <v>0.84440220190526993</v>
      </c>
      <c r="I23" s="34">
        <f t="shared" si="0"/>
        <v>0.92296823296240671</v>
      </c>
      <c r="J23" s="34">
        <f t="shared" si="0"/>
        <v>1.062998371462176</v>
      </c>
      <c r="K23" s="34">
        <f t="shared" si="0"/>
        <v>1.7627538495186501</v>
      </c>
      <c r="L23" s="34">
        <f t="shared" si="0"/>
        <v>1.6885409960299302</v>
      </c>
      <c r="M23" s="34">
        <f t="shared" si="0"/>
        <v>1.6020846487617035</v>
      </c>
      <c r="N23" s="34">
        <f t="shared" si="0"/>
        <v>1.0950309999999908</v>
      </c>
      <c r="O23" s="34">
        <f t="shared" si="0"/>
        <v>1.0365249999999993</v>
      </c>
      <c r="P23" s="34">
        <f t="shared" si="0"/>
        <v>1.0831150000000012</v>
      </c>
      <c r="Q23" s="34">
        <f t="shared" si="0"/>
        <v>1.129708000000007</v>
      </c>
      <c r="R23" s="34">
        <f t="shared" si="0"/>
        <v>1.1763020000000068</v>
      </c>
      <c r="S23" s="34">
        <f t="shared" si="0"/>
        <v>1.3472960000000089</v>
      </c>
      <c r="T23" s="34">
        <f t="shared" si="0"/>
        <v>1.4308339999999919</v>
      </c>
      <c r="U23" s="34">
        <f t="shared" ref="U23" si="1">100*(U22/T22-1)</f>
        <v>1.5276580000000095</v>
      </c>
      <c r="V23" s="34">
        <f t="shared" ref="V23" si="2">100*(V22/U22-1)</f>
        <v>1.6417399999999915</v>
      </c>
      <c r="W23" s="34">
        <f t="shared" ref="W23" si="3">100*(W22/V22-1)</f>
        <v>1.5633220000000003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1173.0429999999999</v>
      </c>
      <c r="D26" s="100">
        <f>+C26*(1+'Input data'!D33/100)</f>
        <v>1191.1868783764799</v>
      </c>
      <c r="E26" s="100">
        <f>+D26*(1+'Input data'!E33/100)</f>
        <v>1213.5621207880349</v>
      </c>
      <c r="F26" s="100">
        <f>+E26*(1+'Input data'!F33/100)</f>
        <v>1236.8449775345198</v>
      </c>
      <c r="G26" s="34">
        <f>+F26*(1+'Input data'!G33/100)</f>
        <v>1261.8457332242676</v>
      </c>
      <c r="H26" s="34">
        <f>+G26*(1+'Input data'!H33/100)</f>
        <v>1282.1430265814731</v>
      </c>
      <c r="I26" s="34">
        <f>+H26*(1+'Input data'!I33/100)</f>
        <v>1300.4982374357346</v>
      </c>
      <c r="J26" s="34">
        <f>+I26*(1+'Input data'!J33/100)</f>
        <v>1318.7135489535367</v>
      </c>
      <c r="K26" s="34">
        <f>+J26*(1+'Input data'!K33/100)</f>
        <v>1336.4066099556267</v>
      </c>
      <c r="L26" s="34">
        <f>+K26*(1+'Input data'!L33/100)</f>
        <v>1353.3725457862693</v>
      </c>
      <c r="M26" s="34">
        <f>+L26*(1+'Input data'!M33/100)</f>
        <v>1369.4118645742244</v>
      </c>
      <c r="N26" s="34">
        <f>+M26*(1+'Input data'!N33/100)</f>
        <v>1384.4073627031089</v>
      </c>
      <c r="O26" s="34">
        <f>+N26*(1+'Input data'!O33/100)</f>
        <v>1398.7570634312199</v>
      </c>
      <c r="P26" s="34">
        <f>+O26*(1+'Input data'!P33/100)</f>
        <v>1413.9072249863734</v>
      </c>
      <c r="Q26" s="34">
        <f>+P26*(1+'Input data'!Q33/100)</f>
        <v>1429.8802480196225</v>
      </c>
      <c r="R26" s="34">
        <f>+Q26*(1+'Input data'!R33/100)</f>
        <v>1446.6999436758797</v>
      </c>
      <c r="S26" s="34">
        <f>+R26*(1+'Input data'!S33/100)</f>
        <v>1466.1912596820275</v>
      </c>
      <c r="T26" s="34">
        <f>+S26*(1+'Input data'!T33/100)</f>
        <v>1487.1700520544116</v>
      </c>
      <c r="U26" s="34">
        <f>+T26*(1+'Input data'!U33/100)</f>
        <v>1509.8888797131235</v>
      </c>
      <c r="V26" s="34">
        <f>+U26*(1+'Input data'!V33/100)</f>
        <v>1534.677314308037</v>
      </c>
      <c r="W26" s="34">
        <f>+V26*(1+'Input data'!W33/100)</f>
        <v>1558.6693237787163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-3.851521214482323</v>
      </c>
      <c r="D29" s="100">
        <f t="shared" ref="D29:T29" si="4">100*(D22/D26-1)</f>
        <v>0.14784626222212882</v>
      </c>
      <c r="E29" s="100">
        <f t="shared" si="4"/>
        <v>0.76212651205243009</v>
      </c>
      <c r="F29" s="100">
        <f t="shared" si="4"/>
        <v>0.9857223436085194</v>
      </c>
      <c r="G29" s="34">
        <f t="shared" si="4"/>
        <v>0.35299695545711884</v>
      </c>
      <c r="H29" s="34">
        <f t="shared" si="4"/>
        <v>-0.40169864518577736</v>
      </c>
      <c r="I29" s="34">
        <f t="shared" si="4"/>
        <v>-0.90114118979196522</v>
      </c>
      <c r="J29" s="34">
        <f t="shared" si="4"/>
        <v>-1.2311193718211766</v>
      </c>
      <c r="K29" s="34">
        <f t="shared" si="4"/>
        <v>-0.8207462478808103</v>
      </c>
      <c r="L29" s="34">
        <f t="shared" si="4"/>
        <v>-0.4103731239404107</v>
      </c>
      <c r="M29" s="34">
        <f t="shared" si="4"/>
        <v>0</v>
      </c>
      <c r="N29" s="34">
        <f t="shared" si="4"/>
        <v>-9.8916831392514837E-7</v>
      </c>
      <c r="O29" s="34">
        <f t="shared" si="4"/>
        <v>9.9031387534864734E-7</v>
      </c>
      <c r="P29" s="34">
        <f t="shared" si="4"/>
        <v>1.0289991081435801E-9</v>
      </c>
      <c r="Q29" s="34">
        <f t="shared" si="4"/>
        <v>1.0289991081435801E-9</v>
      </c>
      <c r="R29" s="34">
        <f t="shared" si="4"/>
        <v>9.8940275972125846E-7</v>
      </c>
      <c r="S29" s="34">
        <f t="shared" si="4"/>
        <v>1.9761089431469259E-6</v>
      </c>
      <c r="T29" s="34">
        <f t="shared" si="4"/>
        <v>4.3219205991817944E-9</v>
      </c>
      <c r="U29" s="34">
        <f t="shared" ref="U29:W29" si="5">100*(U22/U26-1)</f>
        <v>2.959181855111126E-6</v>
      </c>
      <c r="V29" s="34">
        <f t="shared" si="5"/>
        <v>3.9430296583375934E-6</v>
      </c>
      <c r="W29" s="34">
        <f t="shared" si="5"/>
        <v>4.5999870579294111E-9</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9.2295881492239893</v>
      </c>
      <c r="D32" s="2">
        <f t="shared" si="6"/>
        <v>10.152003533114161</v>
      </c>
      <c r="E32" s="2">
        <f t="shared" si="6"/>
        <v>8.5794699112708308</v>
      </c>
      <c r="F32" s="2">
        <f t="shared" si="6"/>
        <v>5.4673252982514908</v>
      </c>
      <c r="G32" s="1">
        <f t="shared" si="6"/>
        <v>3.7567984562641543</v>
      </c>
      <c r="H32" s="1">
        <f t="shared" si="6"/>
        <v>3.2326676569332857</v>
      </c>
      <c r="I32" s="1">
        <f t="shared" si="6"/>
        <v>3.3392957106716192</v>
      </c>
      <c r="J32" s="1">
        <f t="shared" si="6"/>
        <v>3.5089162150359288</v>
      </c>
      <c r="K32" s="1">
        <f t="shared" si="6"/>
        <v>4.2520265056912532</v>
      </c>
      <c r="L32" s="1">
        <f t="shared" si="6"/>
        <v>4.2023984170525885</v>
      </c>
      <c r="M32" s="1">
        <f t="shared" si="6"/>
        <v>4.1401824488825234</v>
      </c>
      <c r="N32" s="1">
        <f t="shared" si="6"/>
        <v>3.6467082512893434</v>
      </c>
      <c r="O32" s="1">
        <f t="shared" si="6"/>
        <v>3.6129563875000104</v>
      </c>
      <c r="P32" s="1">
        <f t="shared" si="6"/>
        <v>3.632936575875001</v>
      </c>
      <c r="Q32" s="1">
        <f t="shared" si="6"/>
        <v>3.6528942145999999</v>
      </c>
      <c r="R32" s="1">
        <f t="shared" si="6"/>
        <v>3.6728272518500082</v>
      </c>
      <c r="S32" s="1">
        <f t="shared" si="6"/>
        <v>3.8201700224000046</v>
      </c>
      <c r="T32" s="1">
        <f t="shared" si="6"/>
        <v>3.8778528702499759</v>
      </c>
      <c r="U32" s="1">
        <f t="shared" si="6"/>
        <v>3.9490926433000118</v>
      </c>
      <c r="V32" s="1">
        <f t="shared" si="6"/>
        <v>4.0379440204999728</v>
      </c>
      <c r="W32" s="1">
        <f t="shared" si="6"/>
        <v>3.9297474026000145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1.94496</v>
      </c>
      <c r="D35" s="100">
        <f>'Input data'!D37</f>
        <v>2.2273139999999998</v>
      </c>
      <c r="E35" s="100">
        <f>'Input data'!E37</f>
        <v>2.3933339999999999</v>
      </c>
      <c r="F35" s="100">
        <f>'Input data'!F37</f>
        <v>2.4819740000000001</v>
      </c>
      <c r="G35" s="100">
        <f>'Input data'!G37</f>
        <v>2.5283959999999999</v>
      </c>
      <c r="H35" s="34">
        <f>H92</f>
        <v>2.6361246787580406</v>
      </c>
      <c r="I35" s="34">
        <f t="shared" ref="I35:W35" si="7">I92</f>
        <v>2.73386480148549</v>
      </c>
      <c r="J35" s="34">
        <f t="shared" si="7"/>
        <v>2.8287631783892073</v>
      </c>
      <c r="K35" s="34">
        <f>K92</f>
        <v>3.1641058217455638</v>
      </c>
      <c r="L35" s="34">
        <f t="shared" si="7"/>
        <v>3.1390123972211779</v>
      </c>
      <c r="M35" s="34">
        <f t="shared" si="7"/>
        <v>3.2211075425444089</v>
      </c>
      <c r="N35" s="34">
        <f t="shared" si="7"/>
        <v>3.3055287083759346</v>
      </c>
      <c r="O35" s="34">
        <f t="shared" si="7"/>
        <v>3.394711254318223</v>
      </c>
      <c r="P35" s="34">
        <f t="shared" si="7"/>
        <v>3.4744469857701379</v>
      </c>
      <c r="Q35" s="34">
        <f t="shared" si="7"/>
        <v>3.5463666975509476</v>
      </c>
      <c r="R35" s="34">
        <f t="shared" si="7"/>
        <v>3.6106840718392514</v>
      </c>
      <c r="S35" s="34">
        <f t="shared" si="7"/>
        <v>3.6676601598276215</v>
      </c>
      <c r="T35" s="34">
        <f t="shared" si="7"/>
        <v>3.7176274485526433</v>
      </c>
      <c r="U35" s="34">
        <f t="shared" si="7"/>
        <v>3.761009320772986</v>
      </c>
      <c r="V35" s="34">
        <f t="shared" si="7"/>
        <v>3.7982384223959595</v>
      </c>
      <c r="W35" s="34">
        <f t="shared" si="7"/>
        <v>3.8296914449979762</v>
      </c>
    </row>
    <row r="36" spans="2:51" x14ac:dyDescent="0.2">
      <c r="B36" s="32" t="s">
        <v>94</v>
      </c>
      <c r="C36" s="1"/>
      <c r="D36" s="2">
        <f>'Input data'!D$39</f>
        <v>2.1800000000000002</v>
      </c>
      <c r="E36" s="2">
        <f>'Input data'!E$39</f>
        <v>3.48</v>
      </c>
      <c r="F36" s="166">
        <f>'Input data'!F$39</f>
        <v>3.2930959999999998</v>
      </c>
      <c r="G36" s="166">
        <f>'Input data'!G$39</f>
        <v>3.4118309999999998</v>
      </c>
      <c r="H36" s="1">
        <f>G36+($O$36-$G$36)/($O$10-$G$10)</f>
        <v>3.5264958749999997</v>
      </c>
      <c r="I36" s="1">
        <f t="shared" ref="I36:J36" si="8">H36+($O$36-$G$36)/($O$10-$G$10)</f>
        <v>3.6411607499999996</v>
      </c>
      <c r="J36" s="1">
        <f t="shared" si="8"/>
        <v>3.7558256249999995</v>
      </c>
      <c r="K36" s="1">
        <f>IF('Criteria results'!$F$5=4,IF(J56&gt;90,G36+('Input data'!$C$52-$G$36)/($O$10-$G$10)*(K10-$G$10)+1+0.06*(J56-90),G36+('Input data'!$C$52-$G$36)/($O$10-$G$10)*(K10-$G$10)+1),G36+('Input data'!$C$52-$G$36)/($O$10-$G$10)*(K10-$G$10))</f>
        <v>5.4353580444867982</v>
      </c>
      <c r="L36" s="1">
        <f>$G$36+('Input data'!$C$52-$G$36)/($O$10-$G$10)*(L10-$G$10)</f>
        <v>3.9851553750000002</v>
      </c>
      <c r="M36" s="1">
        <f>$G$36+('Input data'!$C$52-$G$36)/($O$10-$G$10)*(M10-$G$10)</f>
        <v>4.0998202500000005</v>
      </c>
      <c r="N36" s="1">
        <f>IF('Criteria results'!$F$5=7,IF(M56&gt;90,G36+('Input data'!$C$52-$G$36)/($O$10-$G$10)*(N10-$G$10)+1+0.06*(M56-90),G36+('Input data'!$C$52-$G$36)/($O$10-$G$10)*(N10-$G$10)+1),G36+('Input data'!$C$52-$G$36)/($O$10-$G$10)*(N10-$G$10))</f>
        <v>4.2144851250000004</v>
      </c>
      <c r="O36" s="252">
        <f>'Baseline NFPC'!O36</f>
        <v>4.3291500000000003</v>
      </c>
      <c r="P36" s="1">
        <f>'Baseline NFPC'!P36</f>
        <v>4.3126925000000007</v>
      </c>
      <c r="Q36" s="1">
        <f>'Baseline NFPC'!Q36</f>
        <v>4.2962350000000002</v>
      </c>
      <c r="R36" s="1">
        <f>'Baseline NFPC'!R36</f>
        <v>4.2797774999999998</v>
      </c>
      <c r="S36" s="1">
        <f>'Baseline NFPC'!S36</f>
        <v>4.2633200000000002</v>
      </c>
      <c r="T36" s="1">
        <f>'Baseline NFPC'!T36</f>
        <v>4.2468625000000007</v>
      </c>
      <c r="U36" s="1">
        <f>'Baseline NFPC'!U36</f>
        <v>4.2304050000000002</v>
      </c>
      <c r="V36" s="1">
        <f>'Baseline NFPC'!V36</f>
        <v>4.2139474999999997</v>
      </c>
      <c r="W36" s="1">
        <f>'Baseline NFPC'!W36</f>
        <v>4.1974900000000002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4.3361000444867983</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9.2594570000000001E-2</v>
      </c>
      <c r="D38" s="34">
        <f>'Baseline NFPC'!D38</f>
        <v>6.7370540000000007E-2</v>
      </c>
      <c r="E38" s="34">
        <f>'Baseline NFPC'!E38</f>
        <v>9.4524629999999998E-2</v>
      </c>
      <c r="F38" s="34">
        <f>'Baseline NFPC'!F38</f>
        <v>8.5181549999999995E-2</v>
      </c>
      <c r="G38" s="34">
        <f>'Baseline NFPC'!G38</f>
        <v>8.5454706666666658E-2</v>
      </c>
      <c r="H38" s="34">
        <f>'Baseline NFPC'!H38</f>
        <v>8.5727863333333335E-2</v>
      </c>
      <c r="I38" s="34">
        <f>'Baseline NFPC'!I38</f>
        <v>8.6001019999999997E-2</v>
      </c>
      <c r="J38" s="34">
        <f>'Baseline NFPC'!J38</f>
        <v>8.627417666666666E-2</v>
      </c>
      <c r="K38" s="34">
        <f>'Baseline NFPC'!K38</f>
        <v>8.6547333333333337E-2</v>
      </c>
      <c r="L38" s="34">
        <f>'Baseline NFPC'!L38</f>
        <v>8.682049E-2</v>
      </c>
      <c r="M38" s="34">
        <f>'Baseline NFPC'!M38</f>
        <v>8.7093646666666663E-2</v>
      </c>
      <c r="N38" s="34">
        <f>'Baseline NFPC'!N38</f>
        <v>8.736680333333334E-2</v>
      </c>
      <c r="O38" s="34">
        <f>'Baseline NFPC'!O38</f>
        <v>8.7639960000000003E-2</v>
      </c>
      <c r="P38" s="34">
        <f>'Baseline NFPC'!P38</f>
        <v>8.7639960000000003E-2</v>
      </c>
      <c r="Q38" s="34">
        <f>'Baseline NFPC'!Q38</f>
        <v>8.7639960000000003E-2</v>
      </c>
      <c r="R38" s="34">
        <f>'Baseline NFPC'!R38</f>
        <v>8.7639960000000003E-2</v>
      </c>
      <c r="S38" s="34">
        <f>'Baseline NFPC'!S38</f>
        <v>8.7639960000000003E-2</v>
      </c>
      <c r="T38" s="34">
        <f>'Baseline NFPC'!T38</f>
        <v>8.7639960000000003E-2</v>
      </c>
      <c r="U38" s="34">
        <f>'Baseline NFPC'!U38</f>
        <v>8.7639960000000003E-2</v>
      </c>
      <c r="V38" s="34">
        <f>'Baseline NFPC'!V38</f>
        <v>8.7639960000000003E-2</v>
      </c>
      <c r="W38" s="34">
        <f>'Baseline NFPC'!W38</f>
        <v>8.7639960000000003E-2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2.656326</v>
      </c>
      <c r="D41" s="2">
        <f>'Input data'!D42</f>
        <v>4.1423170000000002</v>
      </c>
      <c r="E41" s="2">
        <f>'Input data'!E42</f>
        <v>5.9277860000000002</v>
      </c>
      <c r="F41" s="2">
        <f>'Input data'!F42</f>
        <v>3.2528440000000001</v>
      </c>
      <c r="G41" s="2">
        <f>'Input data'!G42</f>
        <v>2.3423060000000002</v>
      </c>
      <c r="H41" s="1">
        <f>'Baseline NFPC'!H41</f>
        <v>2.3682677500000002</v>
      </c>
      <c r="I41" s="1">
        <f>'Baseline NFPC'!I41</f>
        <v>2.3942295000000002</v>
      </c>
      <c r="J41" s="1">
        <f>'Baseline NFPC'!J41</f>
        <v>2.4201912500000002</v>
      </c>
      <c r="K41" s="1">
        <f>'Baseline NFPC'!K41</f>
        <v>2.4461529999999998</v>
      </c>
      <c r="L41" s="1">
        <f>'Baseline NFPC'!L41</f>
        <v>2.4721147499999998</v>
      </c>
      <c r="M41" s="1">
        <f>'Baseline NFPC'!M41</f>
        <v>2.4980764999999998</v>
      </c>
      <c r="N41" s="1">
        <f>'Baseline NFPC'!N41</f>
        <v>2.5240382499999998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0.99997000000000003</v>
      </c>
      <c r="D42" s="1">
        <f>'Baseline NFPC'!D42</f>
        <v>0.99999990000000005</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0.59699999999999998</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0.23533130363807922</v>
      </c>
      <c r="I50" s="34">
        <f t="shared" si="10"/>
        <v>-0.26779909679051822</v>
      </c>
      <c r="J50" s="34">
        <f t="shared" si="10"/>
        <v>-0.60076079319464348</v>
      </c>
      <c r="K50" s="34">
        <f t="shared" si="10"/>
        <v>-0.82074624788078432</v>
      </c>
      <c r="L50" s="34">
        <f t="shared" si="10"/>
        <v>-0.41037312394039216</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5.7706480000000004</v>
      </c>
      <c r="E51" s="34">
        <f>'Input data'!E30-$C$46*((E12-D12)-('Input data'!E13-'Input data'!D13))</f>
        <v>2.5032939999999999</v>
      </c>
      <c r="F51" s="34">
        <f>'Input data'!F30-$C$46*((F12-E12)-('Input data'!F13-'Input data'!E13))</f>
        <v>2.144717</v>
      </c>
      <c r="G51" s="34">
        <f>'Input data'!G30-$C$46*((G12-F12))</f>
        <v>1.3821189999999999</v>
      </c>
      <c r="H51" s="34">
        <f>'Input data'!H30-$C$46*((H12-G12))</f>
        <v>0.63103500000000001</v>
      </c>
      <c r="I51" s="34">
        <f>'Input data'!I30-$C$46*((I12-H12))</f>
        <v>0.34257760000000004</v>
      </c>
      <c r="J51" s="34">
        <f>'Input data'!J30-$C$46*((J12-I12))</f>
        <v>0.53271100000000005</v>
      </c>
      <c r="K51" s="34">
        <f>'Input data'!K30-$C$46*((K12-J12))</f>
        <v>1.3416950000000001</v>
      </c>
      <c r="L51" s="34">
        <f>'Input data'!L30-$C$46*((L12-K12))</f>
        <v>1.26952</v>
      </c>
      <c r="M51" s="34">
        <f>'Input data'!M30-$C$46*((M12-L12))</f>
        <v>1.185136</v>
      </c>
      <c r="N51" s="34">
        <f>'Input data'!N30-$C$46*((N12-M12))</f>
        <v>1.0950310000000001</v>
      </c>
      <c r="O51" s="34">
        <f>'Input data'!O30-$C$46*((O12-N12))</f>
        <v>1.0365249999999999</v>
      </c>
      <c r="P51" s="34">
        <f>'Input data'!P30-$C$46*((P12-O12))</f>
        <v>1.083115</v>
      </c>
      <c r="Q51" s="34">
        <f>'Input data'!Q30-$C$46*((Q12-P12))</f>
        <v>1.1297079999999999</v>
      </c>
      <c r="R51" s="34">
        <f>'Input data'!R30-$C$46*((R12-Q12))</f>
        <v>1.176302</v>
      </c>
      <c r="S51" s="34">
        <f>'Input data'!S30-$C$46*((S12-R12))</f>
        <v>1.347296</v>
      </c>
      <c r="T51" s="34">
        <f>'Input data'!T30-$C$46*((T12-S12))</f>
        <v>1.4308339999999999</v>
      </c>
      <c r="U51" s="34">
        <f>'Input data'!U30-$C$46*((U12-T12))</f>
        <v>1.527658</v>
      </c>
      <c r="V51" s="34">
        <f>'Input data'!V30-$C$46*((V12-U12))</f>
        <v>1.64174</v>
      </c>
      <c r="W51" s="34">
        <f>'Input data'!W30-$C$46*((W12-V12))</f>
        <v>1.5633220000000001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116.8408</v>
      </c>
      <c r="D56" s="45">
        <f>+C56+D57</f>
        <v>111.62002928145338</v>
      </c>
      <c r="E56" s="45">
        <f t="shared" ref="E56:T56" si="11">+D56+E57</f>
        <v>107.65412775375809</v>
      </c>
      <c r="F56" s="45">
        <f>+E56+F57</f>
        <v>105.5099779146238</v>
      </c>
      <c r="G56" s="45">
        <f>+F56+G57</f>
        <v>104.97907714628217</v>
      </c>
      <c r="H56" s="45">
        <f>+G56+H57</f>
        <v>103.74121471198744</v>
      </c>
      <c r="I56" s="45">
        <f t="shared" si="11"/>
        <v>101.94036868200992</v>
      </c>
      <c r="J56" s="45">
        <f t="shared" si="11"/>
        <v>99.41445907477997</v>
      </c>
      <c r="K56" s="45">
        <f>+J56+K57</f>
        <v>96.40307717362731</v>
      </c>
      <c r="L56" s="45">
        <f t="shared" si="11"/>
        <v>93.36660952279361</v>
      </c>
      <c r="M56" s="45">
        <f t="shared" si="11"/>
        <v>90.455851407646264</v>
      </c>
      <c r="N56" s="45">
        <f t="shared" si="11"/>
        <v>88.310162320773202</v>
      </c>
      <c r="O56" s="46">
        <f t="shared" si="11"/>
        <v>86.517671034071142</v>
      </c>
      <c r="P56" s="46">
        <f>+O56+P57</f>
        <v>85.012960436649294</v>
      </c>
      <c r="Q56" s="46">
        <f t="shared" si="11"/>
        <v>83.772286397125896</v>
      </c>
      <c r="R56" s="46">
        <f t="shared" si="11"/>
        <v>82.77093063452682</v>
      </c>
      <c r="S56" s="46">
        <f t="shared" si="11"/>
        <v>81.886942426035986</v>
      </c>
      <c r="T56" s="46">
        <f t="shared" si="11"/>
        <v>81.183401175703139</v>
      </c>
      <c r="U56" s="46">
        <f t="shared" ref="U56" si="12">+T56+U57</f>
        <v>80.641654954379831</v>
      </c>
      <c r="V56" s="46">
        <f t="shared" ref="V56" si="13">+U56+V57</f>
        <v>80.222982341432541</v>
      </c>
      <c r="W56" s="46">
        <f t="shared" ref="W56" si="14">+V56+W57</f>
        <v>80.108011920167428</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-5.2207707185466106</v>
      </c>
      <c r="E57" s="47">
        <f t="shared" ref="E57:S57" si="15">-E58+E66+E71</f>
        <v>-3.9659015276953009</v>
      </c>
      <c r="F57" s="47">
        <f>-F58+F66+F71</f>
        <v>-2.1441498391342861</v>
      </c>
      <c r="G57" s="47">
        <f>-G58+G66+G71</f>
        <v>-0.53090076834164168</v>
      </c>
      <c r="H57" s="47">
        <f>-H58+H66+H71</f>
        <v>-1.2378624342947242</v>
      </c>
      <c r="I57" s="47">
        <f t="shared" si="15"/>
        <v>-1.8008460299775197</v>
      </c>
      <c r="J57" s="47">
        <f t="shared" si="15"/>
        <v>-2.5259096072299534</v>
      </c>
      <c r="K57" s="47">
        <f t="shared" si="15"/>
        <v>-3.0113819011526579</v>
      </c>
      <c r="L57" s="47">
        <f t="shared" si="15"/>
        <v>-3.0364676508337061</v>
      </c>
      <c r="M57" s="47">
        <f t="shared" si="15"/>
        <v>-2.9107581151473498</v>
      </c>
      <c r="N57" s="47">
        <f t="shared" si="15"/>
        <v>-2.1456890868730576</v>
      </c>
      <c r="O57" s="47">
        <f t="shared" si="15"/>
        <v>-1.792491286702055</v>
      </c>
      <c r="P57" s="47">
        <f>-P58+P66+P71</f>
        <v>-1.5047105974218415</v>
      </c>
      <c r="Q57" s="47">
        <f t="shared" si="15"/>
        <v>-1.2406740395234046</v>
      </c>
      <c r="R57" s="47">
        <f t="shared" si="15"/>
        <v>-1.0013557625990774</v>
      </c>
      <c r="S57" s="47">
        <f t="shared" si="15"/>
        <v>-0.88398820849082871</v>
      </c>
      <c r="T57" s="47">
        <f>-T58+T66+T71</f>
        <v>-0.70354125033284587</v>
      </c>
      <c r="U57" s="47">
        <f>-U58+U66+U71</f>
        <v>-0.5417462213233093</v>
      </c>
      <c r="V57" s="47">
        <f t="shared" ref="V57:W57" si="16">-V58+V66+V71</f>
        <v>-0.41867261294728442</v>
      </c>
      <c r="W57" s="47">
        <f t="shared" si="16"/>
        <v>-0.11497042126511292</v>
      </c>
    </row>
    <row r="58" spans="2:48" outlineLevel="1" x14ac:dyDescent="0.2">
      <c r="B58" s="84" t="s">
        <v>106</v>
      </c>
      <c r="C58" s="48"/>
      <c r="D58" s="48">
        <f>D59+D60-D61-D62-D63-D64-D65</f>
        <v>-2.3733228814533889</v>
      </c>
      <c r="E58" s="48">
        <f t="shared" ref="E58:S58" si="17">E59+E60-E61-E62-E63-E64-E65</f>
        <v>-1.1758664723046994</v>
      </c>
      <c r="F58" s="48">
        <f t="shared" si="17"/>
        <v>-0.448572060865714</v>
      </c>
      <c r="G58" s="48">
        <f t="shared" si="17"/>
        <v>0.22178088240789987</v>
      </c>
      <c r="H58" s="48">
        <f t="shared" si="17"/>
        <v>0.6312276088240909</v>
      </c>
      <c r="I58" s="48">
        <f t="shared" si="17"/>
        <v>1.1930604096941968</v>
      </c>
      <c r="J58" s="48">
        <f t="shared" si="17"/>
        <v>1.8560634350227576</v>
      </c>
      <c r="K58" s="48">
        <f t="shared" si="17"/>
        <v>1.9739435900151538</v>
      </c>
      <c r="L58" s="48">
        <f t="shared" si="17"/>
        <v>2.0526737450075703</v>
      </c>
      <c r="M58" s="48">
        <f t="shared" si="17"/>
        <v>2.0867638999999958</v>
      </c>
      <c r="N58" s="48">
        <f t="shared" si="17"/>
        <v>1.8479306094665118</v>
      </c>
      <c r="O58" s="48">
        <f t="shared" si="17"/>
        <v>1.6064791912173777</v>
      </c>
      <c r="P58" s="48">
        <f t="shared" si="17"/>
        <v>1.372396000614311</v>
      </c>
      <c r="Q58" s="48">
        <f t="shared" si="17"/>
        <v>1.1533034006143124</v>
      </c>
      <c r="R58" s="48">
        <f t="shared" si="17"/>
        <v>0.95114129067344377</v>
      </c>
      <c r="S58" s="48">
        <f t="shared" si="17"/>
        <v>0.76239927973703547</v>
      </c>
      <c r="T58" s="48">
        <f>T59+T60-T61-T62-T63-T64-T65</f>
        <v>0.57723550258018264</v>
      </c>
      <c r="U58" s="48">
        <f>U59+U60-U61-U62-U63-U64-U65</f>
        <v>0.39485466663156443</v>
      </c>
      <c r="V58" s="48">
        <f t="shared" ref="V58:W58" si="18">V59+V60-V61-V62-V63-V64-V65</f>
        <v>0.23287255398870244</v>
      </c>
      <c r="W58" s="48">
        <f t="shared" si="18"/>
        <v>3.7737602746192311E-2</v>
      </c>
    </row>
    <row r="59" spans="2:48" outlineLevel="1" x14ac:dyDescent="0.2">
      <c r="B59" s="79" t="s">
        <v>107</v>
      </c>
      <c r="C59" s="1"/>
      <c r="D59" s="1">
        <f>D12</f>
        <v>-2.3947409999999998</v>
      </c>
      <c r="E59" s="1">
        <f>E12</f>
        <v>-1.6308560000000001</v>
      </c>
      <c r="F59" s="1">
        <f>F12</f>
        <v>-0.84895830000000005</v>
      </c>
      <c r="G59" s="1">
        <f t="shared" ref="G59:W59" si="19">IF(G12="",F59,G12)</f>
        <v>1.1041699999999932E-2</v>
      </c>
      <c r="H59" s="1">
        <f t="shared" si="19"/>
        <v>0.87104169999999992</v>
      </c>
      <c r="I59" s="1">
        <f t="shared" si="19"/>
        <v>1.7310417</v>
      </c>
      <c r="J59" s="1">
        <f t="shared" si="19"/>
        <v>2.5910416999999999</v>
      </c>
      <c r="K59" s="1">
        <f t="shared" si="19"/>
        <v>2.5910416999999999</v>
      </c>
      <c r="L59" s="1">
        <f t="shared" si="19"/>
        <v>2.5910416999999999</v>
      </c>
      <c r="M59" s="1">
        <f t="shared" si="19"/>
        <v>2.5910416999999999</v>
      </c>
      <c r="N59" s="1">
        <f t="shared" si="19"/>
        <v>2.5910416999999999</v>
      </c>
      <c r="O59" s="1">
        <f t="shared" si="19"/>
        <v>2.5910416999999999</v>
      </c>
      <c r="P59" s="1">
        <f t="shared" si="19"/>
        <v>2.5910416999999999</v>
      </c>
      <c r="Q59" s="1">
        <f t="shared" si="19"/>
        <v>2.5910416999999999</v>
      </c>
      <c r="R59" s="1">
        <f t="shared" si="19"/>
        <v>2.5910416999999999</v>
      </c>
      <c r="S59" s="1">
        <f t="shared" si="19"/>
        <v>2.5910416999999999</v>
      </c>
      <c r="T59" s="1">
        <f t="shared" si="19"/>
        <v>2.5910416999999999</v>
      </c>
      <c r="U59" s="1">
        <f t="shared" si="19"/>
        <v>2.5910416999999999</v>
      </c>
      <c r="V59" s="1">
        <f t="shared" si="19"/>
        <v>2.5910416999999999</v>
      </c>
      <c r="W59" s="1">
        <f t="shared" si="19"/>
        <v>2.5910416999999999</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-8.8264218546610901E-2</v>
      </c>
      <c r="E61" s="1">
        <f t="shared" si="20"/>
        <v>-0.45498952769530077</v>
      </c>
      <c r="F61" s="1">
        <f t="shared" si="20"/>
        <v>-0.58847623913428604</v>
      </c>
      <c r="G61" s="1">
        <f t="shared" si="20"/>
        <v>-0.21073918240789993</v>
      </c>
      <c r="H61" s="1">
        <f t="shared" si="20"/>
        <v>0.23981409117590907</v>
      </c>
      <c r="I61" s="1">
        <f t="shared" si="20"/>
        <v>0.53798129030580322</v>
      </c>
      <c r="J61" s="1">
        <f t="shared" si="20"/>
        <v>0.73497826497724239</v>
      </c>
      <c r="K61" s="1">
        <f t="shared" si="20"/>
        <v>0.48998550998484375</v>
      </c>
      <c r="L61" s="1">
        <f t="shared" si="20"/>
        <v>0.24499275499242518</v>
      </c>
      <c r="M61" s="1">
        <f t="shared" si="20"/>
        <v>0</v>
      </c>
      <c r="N61" s="1">
        <f t="shared" si="20"/>
        <v>5.9053348341331355E-7</v>
      </c>
      <c r="O61" s="1">
        <f t="shared" si="20"/>
        <v>-5.9121738358314249E-7</v>
      </c>
      <c r="P61" s="1">
        <f t="shared" si="20"/>
        <v>-6.1431246756171729E-10</v>
      </c>
      <c r="Q61" s="1">
        <f t="shared" si="20"/>
        <v>-6.1431246756171729E-10</v>
      </c>
      <c r="R61" s="1">
        <f t="shared" si="20"/>
        <v>-5.9067344755359124E-7</v>
      </c>
      <c r="S61" s="1">
        <f t="shared" si="20"/>
        <v>-1.1797370390587147E-6</v>
      </c>
      <c r="T61" s="1">
        <f t="shared" si="20"/>
        <v>-2.5801865977115313E-9</v>
      </c>
      <c r="U61" s="1">
        <f t="shared" si="20"/>
        <v>-1.7666315675013421E-6</v>
      </c>
      <c r="V61" s="1">
        <f t="shared" si="20"/>
        <v>-2.3539887060275431E-6</v>
      </c>
      <c r="W61" s="1">
        <f t="shared" si="20"/>
        <v>-2.7461922735838584E-9</v>
      </c>
    </row>
    <row r="62" spans="2:48" outlineLevel="1" x14ac:dyDescent="0.2">
      <c r="B62" s="79" t="s">
        <v>110</v>
      </c>
      <c r="C62" s="1"/>
      <c r="D62" s="1">
        <f t="shared" ref="D62:W62" si="21">-D13</f>
        <v>6.6846100000000006E-2</v>
      </c>
      <c r="E62" s="1">
        <f t="shared" si="21"/>
        <v>0</v>
      </c>
      <c r="F62" s="1">
        <f t="shared" si="21"/>
        <v>0.18809000000000001</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0.12803000000000253</v>
      </c>
      <c r="L63" s="1">
        <f>IF(L$55&lt;=$C$6,0,HLOOKUP(L$55,'Input data'!$C$9:$BB$26,12,FALSE)-HLOOKUP($C$6,'Input data'!$C$9:$BB$26,12,FALSE))</f>
        <v>0.29521000000000441</v>
      </c>
      <c r="M63" s="1">
        <f>IF(M$55&lt;=$C$6,0,HLOOKUP(M$55,'Input data'!$C$9:$BB$26,12,FALSE)-HLOOKUP($C$6,'Input data'!$C$9:$BB$26,12,FALSE))</f>
        <v>0.50703000000000387</v>
      </c>
      <c r="N63" s="1">
        <f>IF(N$55&lt;=$C$6,0,HLOOKUP(N$55,'Input data'!$C$9:$BB$26,12,FALSE)-HLOOKUP($C$6,'Input data'!$C$9:$BB$26,12,FALSE))</f>
        <v>0.74678000000000466</v>
      </c>
      <c r="O63" s="1">
        <f>IF(O$55&lt;=$C$6,0,HLOOKUP(O$55,'Input data'!$C$9:$BB$26,12,FALSE)-HLOOKUP($C$6,'Input data'!$C$9:$BB$26,12,FALSE))</f>
        <v>0.98915000000000575</v>
      </c>
      <c r="P63" s="1">
        <f>IF(P$55&lt;=$C$6,0,HLOOKUP(P$55,'Input data'!$C$9:$BB$26,12,FALSE)-HLOOKUP($C$6,'Input data'!$C$9:$BB$26,12,FALSE))</f>
        <v>1.2241500000000016</v>
      </c>
      <c r="Q63" s="1">
        <f>IF(Q$55&lt;=$C$6,0,HLOOKUP(Q$55,'Input data'!$C$9:$BB$26,12,FALSE)-HLOOKUP($C$6,'Input data'!$C$9:$BB$26,12,FALSE))</f>
        <v>1.4441600000000001</v>
      </c>
      <c r="R63" s="1">
        <f>IF(R$55&lt;=$C$6,0,HLOOKUP(R$55,'Input data'!$C$9:$BB$26,12,FALSE)-HLOOKUP($C$6,'Input data'!$C$9:$BB$26,12,FALSE))</f>
        <v>1.6472400000000036</v>
      </c>
      <c r="S63" s="1">
        <f>IF(S$55&lt;=$C$6,0,HLOOKUP(S$55,'Input data'!$C$9:$BB$26,12,FALSE)-HLOOKUP($C$6,'Input data'!$C$9:$BB$26,12,FALSE))</f>
        <v>1.8369000000000035</v>
      </c>
      <c r="T63" s="1">
        <f>IF(T$55&lt;=$C$6,0,HLOOKUP(T$55,'Input data'!$C$9:$BB$26,12,FALSE)-HLOOKUP($C$6,'Input data'!$C$9:$BB$26,12,FALSE))</f>
        <v>2.022980000000004</v>
      </c>
      <c r="U63" s="1">
        <f>IF(U$55&lt;=$C$6,0,HLOOKUP(U$55,'Input data'!$C$9:$BB$26,12,FALSE)-HLOOKUP($C$6,'Input data'!$C$9:$BB$26,12,FALSE))</f>
        <v>2.2062800000000031</v>
      </c>
      <c r="V63" s="1">
        <f>IF(V$55&lt;=$C$6,0,HLOOKUP(V$55,'Input data'!$C$9:$BB$26,12,FALSE)-HLOOKUP($C$6,'Input data'!$C$9:$BB$26,12,FALSE))</f>
        <v>2.3691800000000036</v>
      </c>
      <c r="W63" s="1">
        <f>IF(W$55&lt;=$C$6,0,HLOOKUP(W$55,'Input data'!$C$9:$BB$26,12,FALSE)-HLOOKUP($C$6,'Input data'!$C$9:$BB$26,12,FALSE))</f>
        <v>2.5652299999999997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-9.1739999999995714E-4</v>
      </c>
      <c r="L64" s="1">
        <f>IF(L$55&lt;=$C$6,0,-HLOOKUP(L$55,'Input data'!$C$9:$BB$26,18,FALSE)+HLOOKUP($C$6,'Input data'!$C$9:$BB$26,18,FALSE))</f>
        <v>-1.8348000000000253E-3</v>
      </c>
      <c r="M64" s="1">
        <f>IF(M$55&lt;=$C$6,0,-HLOOKUP(M$55,'Input data'!$C$9:$BB$26,18,FALSE)+HLOOKUP($C$6,'Input data'!$C$9:$BB$26,18,FALSE))</f>
        <v>-2.7521999999999824E-3</v>
      </c>
      <c r="N64" s="1">
        <f>IF(N$55&lt;=$C$6,0,-HLOOKUP(N$55,'Input data'!$C$9:$BB$26,18,FALSE)+HLOOKUP($C$6,'Input data'!$C$9:$BB$26,18,FALSE))</f>
        <v>-3.6694999999999922E-3</v>
      </c>
      <c r="O64" s="1">
        <f>IF(O$55&lt;=$C$6,0,-HLOOKUP(O$55,'Input data'!$C$9:$BB$26,18,FALSE)+HLOOKUP($C$6,'Input data'!$C$9:$BB$26,18,FALSE))</f>
        <v>-4.5868999999999494E-3</v>
      </c>
      <c r="P64" s="1">
        <f>IF(P$55&lt;=$C$6,0,-HLOOKUP(P$55,'Input data'!$C$9:$BB$26,18,FALSE)+HLOOKUP($C$6,'Input data'!$C$9:$BB$26,18,FALSE))</f>
        <v>-5.5043000000000175E-3</v>
      </c>
      <c r="Q64" s="1">
        <f>IF(Q$55&lt;=$C$6,0,-HLOOKUP(Q$55,'Input data'!$C$9:$BB$26,18,FALSE)+HLOOKUP($C$6,'Input data'!$C$9:$BB$26,18,FALSE))</f>
        <v>-6.4216999999999747E-3</v>
      </c>
      <c r="R64" s="1">
        <f>IF(R$55&lt;=$C$6,0,-HLOOKUP(R$55,'Input data'!$C$9:$BB$26,18,FALSE)+HLOOKUP($C$6,'Input data'!$C$9:$BB$26,18,FALSE))</f>
        <v>-7.3389999999999844E-3</v>
      </c>
      <c r="S64" s="1">
        <f>IF(S$55&lt;=$C$6,0,-HLOOKUP(S$55,'Input data'!$C$9:$BB$26,18,FALSE)+HLOOKUP($C$6,'Input data'!$C$9:$BB$26,18,FALSE))</f>
        <v>-8.2563999999999416E-3</v>
      </c>
      <c r="T64" s="1">
        <f>IF(T$55&lt;=$C$6,0,-HLOOKUP(T$55,'Input data'!$C$9:$BB$26,18,FALSE)+HLOOKUP($C$6,'Input data'!$C$9:$BB$26,18,FALSE))</f>
        <v>-9.1738000000000097E-3</v>
      </c>
      <c r="U64" s="1">
        <f>IF(U$55&lt;=$C$6,0,-HLOOKUP(U$55,'Input data'!$C$9:$BB$26,18,FALSE)+HLOOKUP($C$6,'Input data'!$C$9:$BB$26,18,FALSE))</f>
        <v>-1.0091199999999967E-2</v>
      </c>
      <c r="V64" s="1">
        <f>IF(V$55&lt;=$C$6,0,-HLOOKUP(V$55,'Input data'!$C$9:$BB$26,18,FALSE)+HLOOKUP($C$6,'Input data'!$C$9:$BB$26,18,FALSE))</f>
        <v>-1.1008499999999977E-2</v>
      </c>
      <c r="W64" s="1">
        <f>IF(W$55&lt;=$C$6,0,-HLOOKUP(W$55,'Input data'!$C$9:$BB$26,18,FALSE)+HLOOKUP($C$6,'Input data'!$C$9:$BB$26,18,FALSE))</f>
        <v>-1.1925899999999934E-2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-8.4059019999999993</v>
      </c>
      <c r="E66" s="48">
        <f t="shared" si="22"/>
        <v>-6.3592510000000004</v>
      </c>
      <c r="F66" s="48">
        <f t="shared" si="22"/>
        <v>-3.047193</v>
      </c>
      <c r="G66" s="48">
        <f>SUM(G67:G70)</f>
        <v>-1.2491208859337417</v>
      </c>
      <c r="H66" s="48">
        <f>SUM(H67:H70)</f>
        <v>-0.6066348254706333</v>
      </c>
      <c r="I66" s="48">
        <f t="shared" si="22"/>
        <v>-0.60778562028332295</v>
      </c>
      <c r="J66" s="48">
        <f t="shared" si="22"/>
        <v>-0.66984617220719578</v>
      </c>
      <c r="K66" s="48">
        <f t="shared" si="22"/>
        <v>-1.0374383111375041</v>
      </c>
      <c r="L66" s="48">
        <f t="shared" si="22"/>
        <v>-0.98379390582613557</v>
      </c>
      <c r="M66" s="48">
        <f t="shared" si="22"/>
        <v>-0.82399421514735405</v>
      </c>
      <c r="N66" s="48">
        <f t="shared" si="22"/>
        <v>-0.29775847740654582</v>
      </c>
      <c r="O66" s="48">
        <f t="shared" si="22"/>
        <v>-0.18601209548467734</v>
      </c>
      <c r="P66" s="48">
        <f t="shared" si="22"/>
        <v>-0.13231459680753055</v>
      </c>
      <c r="Q66" s="48">
        <f t="shared" si="22"/>
        <v>-8.7370638909092246E-2</v>
      </c>
      <c r="R66" s="48">
        <f t="shared" si="22"/>
        <v>-5.0214471925633664E-2</v>
      </c>
      <c r="S66" s="48">
        <f t="shared" si="22"/>
        <v>-0.12158892875379324</v>
      </c>
      <c r="T66" s="48">
        <f t="shared" si="22"/>
        <v>-0.12630574775266323</v>
      </c>
      <c r="U66" s="48">
        <f>SUM(U67:U70)</f>
        <v>-0.14689155469174486</v>
      </c>
      <c r="V66" s="48">
        <f t="shared" ref="V66:W66" si="23">SUM(V67:V70)</f>
        <v>-0.18580005895858198</v>
      </c>
      <c r="W66" s="48">
        <f t="shared" si="23"/>
        <v>-7.723281851892061E-2</v>
      </c>
    </row>
    <row r="67" spans="2:23" outlineLevel="1" x14ac:dyDescent="0.2">
      <c r="B67" s="79" t="s">
        <v>115</v>
      </c>
      <c r="C67" s="34"/>
      <c r="D67" s="34">
        <f>C56*D35/100*(1/(1+D32/100))</f>
        <v>2.3625639231606503</v>
      </c>
      <c r="E67" s="34">
        <f t="shared" ref="E67:F67" si="24">D56*E35/100*(1/(1+E32/100))</f>
        <v>2.4603547187935546</v>
      </c>
      <c r="F67" s="34">
        <f t="shared" si="24"/>
        <v>2.5334362592575936</v>
      </c>
      <c r="G67" s="34">
        <f>F56*G35/100*(1/(1+G32/100))</f>
        <v>2.5711183275558871</v>
      </c>
      <c r="H67" s="34">
        <f t="shared" ref="H67:W67" si="25">G56*H35/100*(1/(1+H32/100))</f>
        <v>2.680720573241647</v>
      </c>
      <c r="I67" s="34">
        <f t="shared" si="25"/>
        <v>2.7444976609721845</v>
      </c>
      <c r="J67" s="34">
        <f t="shared" si="25"/>
        <v>2.7858968276705949</v>
      </c>
      <c r="K67" s="34">
        <f t="shared" si="25"/>
        <v>3.0172830137457831</v>
      </c>
      <c r="L67" s="34">
        <f t="shared" si="25"/>
        <v>2.9040641959807738</v>
      </c>
      <c r="M67" s="34">
        <f t="shared" si="25"/>
        <v>2.8878755835029386</v>
      </c>
      <c r="N67" s="34">
        <f t="shared" si="25"/>
        <v>2.8848423525774911</v>
      </c>
      <c r="O67" s="34">
        <f t="shared" si="25"/>
        <v>2.8933399099223527</v>
      </c>
      <c r="P67" s="34">
        <f t="shared" si="25"/>
        <v>2.9006324752758057</v>
      </c>
      <c r="Q67" s="34">
        <f t="shared" si="25"/>
        <v>2.9086224175135809</v>
      </c>
      <c r="R67" s="34">
        <f t="shared" si="25"/>
        <v>2.9175943993584967</v>
      </c>
      <c r="S67" s="34">
        <f t="shared" si="25"/>
        <v>2.92405266351048</v>
      </c>
      <c r="T67" s="34">
        <f t="shared" si="25"/>
        <v>2.9306068274372947</v>
      </c>
      <c r="U67" s="34">
        <f t="shared" si="25"/>
        <v>2.9373178807977993</v>
      </c>
      <c r="V67" s="34">
        <f t="shared" si="25"/>
        <v>2.9440819421899511</v>
      </c>
      <c r="W67" s="34">
        <f t="shared" si="25"/>
        <v>2.9561244671852438</v>
      </c>
    </row>
    <row r="68" spans="2:23" outlineLevel="1" x14ac:dyDescent="0.2">
      <c r="B68" s="79" t="s">
        <v>116</v>
      </c>
      <c r="C68" s="34"/>
      <c r="D68" s="34">
        <f t="shared" ref="D68:W68" si="26">-C56*(D23/100)*(1/(1+D32/100))</f>
        <v>-6.1210609631417761</v>
      </c>
      <c r="E68" s="34">
        <f t="shared" si="26"/>
        <v>-2.5733939372555574</v>
      </c>
      <c r="F68" s="34">
        <f t="shared" si="26"/>
        <v>-2.1891864353317834</v>
      </c>
      <c r="G68" s="34">
        <f t="shared" si="26"/>
        <v>-1.405472675863759</v>
      </c>
      <c r="H68" s="34">
        <f>-G56*(H23/100)*(1/(1+H32/100))</f>
        <v>-0.85868713759186033</v>
      </c>
      <c r="I68" s="34">
        <f t="shared" si="26"/>
        <v>-0.92655794651606871</v>
      </c>
      <c r="J68" s="34">
        <f t="shared" si="26"/>
        <v>-1.0468899671416847</v>
      </c>
      <c r="K68" s="34">
        <f t="shared" si="26"/>
        <v>-1.6809574480771934</v>
      </c>
      <c r="L68" s="34">
        <f t="shared" si="26"/>
        <v>-1.562157401594588</v>
      </c>
      <c r="M68" s="34">
        <f t="shared" si="26"/>
        <v>-1.436344822007761</v>
      </c>
      <c r="N68" s="34">
        <f t="shared" si="26"/>
        <v>-0.95566914853307239</v>
      </c>
      <c r="O68" s="34">
        <f t="shared" si="26"/>
        <v>-0.88343865662134857</v>
      </c>
      <c r="P68" s="34">
        <f t="shared" si="26"/>
        <v>-0.90423556794088522</v>
      </c>
      <c r="Q68" s="34">
        <f t="shared" si="26"/>
        <v>-0.92655224185181639</v>
      </c>
      <c r="R68" s="34">
        <f t="shared" si="26"/>
        <v>-0.95050468522603271</v>
      </c>
      <c r="S68" s="34">
        <f t="shared" si="26"/>
        <v>-1.0741356302548486</v>
      </c>
      <c r="T68" s="34">
        <f t="shared" si="26"/>
        <v>-1.127926869316048</v>
      </c>
      <c r="U68" s="34">
        <f t="shared" si="26"/>
        <v>-1.1930885505547197</v>
      </c>
      <c r="V68" s="34">
        <f t="shared" si="26"/>
        <v>-1.2725417812823732</v>
      </c>
      <c r="W68" s="34">
        <f t="shared" si="26"/>
        <v>-1.2067223902137141</v>
      </c>
    </row>
    <row r="69" spans="2:23" outlineLevel="1" x14ac:dyDescent="0.2">
      <c r="B69" s="79" t="s">
        <v>117</v>
      </c>
      <c r="C69" s="34"/>
      <c r="D69" s="34">
        <f t="shared" ref="D69:T69" si="27">-C56*D41/100*(1/(1+D41/100))</f>
        <v>-4.6474060312447243</v>
      </c>
      <c r="E69" s="34">
        <f t="shared" si="27"/>
        <v>-6.2463275395389601</v>
      </c>
      <c r="F69" s="34">
        <f t="shared" si="27"/>
        <v>-3.3915006112475261</v>
      </c>
      <c r="G69" s="34">
        <f t="shared" si="27"/>
        <v>-2.4148044341436945</v>
      </c>
      <c r="H69" s="34">
        <f>-G56*H41/100*(1/(1+H41/100))</f>
        <v>-2.42866826112042</v>
      </c>
      <c r="I69" s="34">
        <f t="shared" si="27"/>
        <v>-2.4257253347394387</v>
      </c>
      <c r="J69" s="34">
        <f t="shared" si="27"/>
        <v>-2.408853032736106</v>
      </c>
      <c r="K69" s="34">
        <f t="shared" si="27"/>
        <v>-2.3737638768060938</v>
      </c>
      <c r="L69" s="34">
        <f t="shared" si="27"/>
        <v>-2.3257007002123213</v>
      </c>
      <c r="M69" s="34">
        <f t="shared" si="27"/>
        <v>-2.2755249766425316</v>
      </c>
      <c r="N69" s="34">
        <f t="shared" si="27"/>
        <v>-2.2269316814509645</v>
      </c>
      <c r="O69" s="34">
        <f t="shared" si="27"/>
        <v>-2.1959133487856817</v>
      </c>
      <c r="P69" s="34">
        <f t="shared" si="27"/>
        <v>-2.1287115041424509</v>
      </c>
      <c r="Q69" s="34">
        <f t="shared" si="27"/>
        <v>-2.0694408145708567</v>
      </c>
      <c r="R69" s="34">
        <f t="shared" si="27"/>
        <v>-2.0173041860580976</v>
      </c>
      <c r="S69" s="34">
        <f>-R56*S41/100*(1/(1+S41/100))</f>
        <v>-1.9715059620094246</v>
      </c>
      <c r="T69" s="34">
        <f t="shared" si="27"/>
        <v>-1.9289857058739099</v>
      </c>
      <c r="U69" s="34">
        <f t="shared" ref="U69" si="28">-T56*U41/100*(1/(1+U41/100))</f>
        <v>-1.8911208849348244</v>
      </c>
      <c r="V69" s="34">
        <f t="shared" ref="V69" si="29">-U56*V41/100*(1/(1+V41/100))</f>
        <v>-1.8573402198661599</v>
      </c>
      <c r="W69" s="34">
        <f t="shared" ref="W69" si="30">-V56*W41/100*(1/(1+W41/100))</f>
        <v>-1.8266348954904503</v>
      </c>
    </row>
    <row r="70" spans="2:23" outlineLevel="1" x14ac:dyDescent="0.2">
      <c r="B70" s="79" t="s">
        <v>118</v>
      </c>
      <c r="C70" s="49"/>
      <c r="D70" s="49">
        <f>'Baseline NFPC'!D70</f>
        <v>1.0712258511347272E-6</v>
      </c>
      <c r="E70" s="49">
        <f>'Baseline NFPC'!E70</f>
        <v>1.157580009625292E-4</v>
      </c>
      <c r="F70" s="49">
        <f>'Baseline NFPC'!F70</f>
        <v>5.778732171579648E-5</v>
      </c>
      <c r="G70" s="49">
        <f>'Baseline NFPC'!G70</f>
        <v>3.7896517824709264E-5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0.81180839999999999</v>
      </c>
      <c r="E71" s="50">
        <f>'Input data'!E16</f>
        <v>1.2174830000000001</v>
      </c>
      <c r="F71" s="50">
        <f>'Input data'!F16</f>
        <v>0.45447110000000002</v>
      </c>
      <c r="G71" s="50">
        <f>'Input data'!G16</f>
        <v>0.94000099999999998</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0.81181420000000004</v>
      </c>
      <c r="E72" s="34">
        <f t="shared" si="31"/>
        <v>1.217482</v>
      </c>
      <c r="F72" s="34">
        <f t="shared" si="31"/>
        <v>0.45447080000000001</v>
      </c>
      <c r="G72" s="34">
        <f t="shared" si="31"/>
        <v>0.94</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-5.8000000000557606E-6</v>
      </c>
      <c r="E73" s="49">
        <f t="shared" ref="E73:T73" si="32">+E71-E72</f>
        <v>1.000000000139778E-6</v>
      </c>
      <c r="F73" s="49">
        <f t="shared" si="32"/>
        <v>3.000000000086267E-7</v>
      </c>
      <c r="G73" s="49">
        <f t="shared" si="32"/>
        <v>1.0000000000287557E-6</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116.8408</v>
      </c>
      <c r="D83" s="110">
        <f>D56</f>
        <v>111.62002928145338</v>
      </c>
      <c r="E83" s="110">
        <f>E56</f>
        <v>107.65412775375809</v>
      </c>
      <c r="F83" s="110">
        <f>F56</f>
        <v>105.5099779146238</v>
      </c>
      <c r="G83" s="110">
        <f>G56</f>
        <v>104.97907714628217</v>
      </c>
      <c r="H83" s="110">
        <f>G83*(1+H97/100)*H42-H59-H60+H61+H62+H63+H64+H65+H71</f>
        <v>103.74121471198744</v>
      </c>
      <c r="I83" s="110">
        <f t="shared" ref="I83:T83" si="39">H83*(1+I97/100)*I42-I59-I60+I61+I62+I63+I64+I65+I71</f>
        <v>101.94036868200993</v>
      </c>
      <c r="J83" s="110">
        <f t="shared" si="39"/>
        <v>99.414459074779984</v>
      </c>
      <c r="K83" s="110">
        <f t="shared" si="39"/>
        <v>96.403077173627324</v>
      </c>
      <c r="L83" s="110">
        <f t="shared" si="39"/>
        <v>93.36660952279361</v>
      </c>
      <c r="M83" s="110">
        <f t="shared" si="39"/>
        <v>90.45585140764625</v>
      </c>
      <c r="N83" s="110">
        <f t="shared" si="39"/>
        <v>88.310162320773188</v>
      </c>
      <c r="O83" s="110">
        <f t="shared" si="39"/>
        <v>86.517671034071114</v>
      </c>
      <c r="P83" s="110">
        <f t="shared" si="39"/>
        <v>85.012960436649266</v>
      </c>
      <c r="Q83" s="110">
        <f t="shared" si="39"/>
        <v>83.772286397125853</v>
      </c>
      <c r="R83" s="110">
        <f t="shared" si="39"/>
        <v>82.770930634526763</v>
      </c>
      <c r="S83" s="110">
        <f t="shared" si="39"/>
        <v>81.886942426035944</v>
      </c>
      <c r="T83" s="110">
        <f t="shared" si="39"/>
        <v>81.183401175703111</v>
      </c>
      <c r="U83" s="110">
        <f>T83*(1+U97/100)*U42-U59-U60+U61+U62+U63+U64+U65+U71</f>
        <v>80.641654954379803</v>
      </c>
      <c r="V83" s="110">
        <f t="shared" ref="V83:W83" si="40">U83*(1+V97/100)*V42-V59-V60+V61+V62+V63+V64+V65+V71</f>
        <v>80.222982341432512</v>
      </c>
      <c r="W83" s="110">
        <f t="shared" si="40"/>
        <v>80.108011920167399</v>
      </c>
    </row>
    <row r="84" spans="2:23" x14ac:dyDescent="0.2">
      <c r="B84" s="26" t="s">
        <v>127</v>
      </c>
      <c r="C84" s="34"/>
      <c r="D84" s="254">
        <f>'Input data'!C66*$D$83</f>
        <v>92.157855454020762</v>
      </c>
      <c r="E84" s="34">
        <f t="shared" ref="E84" si="41">IF(E83=0,0,IF(E79=1,D83*E42/((1+E23/100)*(1+E41/100))-E85-E86,IF(AND(E79=0,E80=1),(1-D89-E38*D90)*D83*E42/((1+E23/100)*(1+E41/100)),E83)))</f>
        <v>86.713038149766305</v>
      </c>
      <c r="F84" s="34">
        <f t="shared" ref="F84" si="42">IF(F83=0,0,IF(F79=1,E83*F42/((1+F23/100)*(1+F41/100))-F85-F86,IF(AND(F79=0,F80=1),(1-E89-F38*E90)*E83*F42/((1+F23/100)*(1+F41/100)),F83)))</f>
        <v>87.011336345534914</v>
      </c>
      <c r="G84" s="34">
        <f t="shared" ref="G84" si="43">IF(G83=0,0,IF(G79=1,F83*G42/((1+G23/100)*(1+G41/100))-G85-G86,IF(AND(G79=0,G80=1),(1-F89-G38*F90)*F83*G42/((1+G23/100)*(1+G41/100)),G83)))</f>
        <v>86.674141426534916</v>
      </c>
      <c r="H84" s="34">
        <f t="shared" ref="H84:W84" si="44">IF(H83=0,0,IF(H79=1,G83*H42/((1+H23/100)*(1+H41/100))-H85-H86,IF(AND(H79=0,H80=1),(1-G89-H38*G90)*G83*H42/((1+H23/100)*(1+H41/100)),H83)))</f>
        <v>86.664679004720313</v>
      </c>
      <c r="I84" s="34">
        <f t="shared" si="44"/>
        <v>85.537704013200184</v>
      </c>
      <c r="J84" s="34">
        <f t="shared" si="44"/>
        <v>83.896599959812335</v>
      </c>
      <c r="K84" s="34">
        <f t="shared" si="44"/>
        <v>81.214145865555579</v>
      </c>
      <c r="L84" s="34">
        <f t="shared" si="44"/>
        <v>78.772294126717014</v>
      </c>
      <c r="M84" s="34">
        <f t="shared" si="44"/>
        <v>76.317349718520049</v>
      </c>
      <c r="N84" s="34">
        <f t="shared" si="44"/>
        <v>74.271143915397133</v>
      </c>
      <c r="O84" s="34">
        <f t="shared" si="44"/>
        <v>72.515427118675774</v>
      </c>
      <c r="P84" s="34">
        <f t="shared" si="44"/>
        <v>71.034920559628034</v>
      </c>
      <c r="Q84" s="34">
        <f t="shared" si="44"/>
        <v>69.791993880805634</v>
      </c>
      <c r="R84" s="34">
        <f t="shared" si="44"/>
        <v>68.766938644686249</v>
      </c>
      <c r="S84" s="34">
        <f t="shared" si="44"/>
        <v>67.855865004768518</v>
      </c>
      <c r="T84" s="34">
        <f t="shared" si="44"/>
        <v>67.101771029568923</v>
      </c>
      <c r="U84" s="34">
        <f t="shared" si="44"/>
        <v>66.488012912909539</v>
      </c>
      <c r="V84" s="34">
        <f t="shared" si="44"/>
        <v>65.996675317742358</v>
      </c>
      <c r="W84" s="34">
        <f t="shared" si="44"/>
        <v>65.731429765685704</v>
      </c>
    </row>
    <row r="85" spans="2:23" x14ac:dyDescent="0.2">
      <c r="B85" s="105" t="s">
        <v>128</v>
      </c>
      <c r="C85" s="34"/>
      <c r="D85" s="254">
        <f>'Input data'!C67*$D$83</f>
        <v>6.6572250300998093</v>
      </c>
      <c r="E85" s="34">
        <f t="shared" ref="E85" si="45">IF(E83=0,0,IF(E79=1,E38*D83*D90*E42/((1+E23/100)*(1+E41/100)),IF(AND(E79=0,E80=1),(E38*D83*D90*E42/((1+E23/100)*(1+E41/100)))*(1-ABS(E83-D83*E42/((1+E23/100)*(1+E41/100)))/((E38*D83*D90*E42/((1+E23/100)*(1+E41/100)))+(D89*D83*E42/((1+E23/100)*(1+E41/100))))),0)))</f>
        <v>9.0521709577617173</v>
      </c>
      <c r="F85" s="34">
        <f t="shared" ref="F85" si="46">IF(F83=0,0,IF(F79=1,F38*E83*E90*F42/((1+F23/100)*(1+F41/100)),IF(AND(F79=0,F80=1),(F38*E83*E90*F42/((1+F23/100)*(1+F41/100)))*(1-ABS(F83-E83*F42/((1+F23/100)*(1+F41/100)))/((F38*E83*E90*F42/((1+F23/100)*(1+F41/100)))+(E89*E83*F42/((1+F23/100)*(1+F41/100))))),0)))</f>
        <v>8.1018922360868402</v>
      </c>
      <c r="G85" s="34">
        <f t="shared" ref="G85" si="47">IF(G83=0,0,IF(G79=1,G38*F83*F90*G42/((1+G23/100)*(1+G41/100)),IF(AND(G79=0,G80=1),(G38*F83*F90*G42/((1+G23/100)*(1+G41/100)))*(1-ABS(G83-F83*G42/((1+G23/100)*(1+G41/100)))/((G38*F83*F90*G42/((1+G23/100)*(1+G41/100)))+(F89*F83*G42/((1+G23/100)*(1+G41/100))))),0)))</f>
        <v>8.0987933404520014</v>
      </c>
      <c r="H85" s="34">
        <f t="shared" ref="H85:W85" si="48">IF(H83=0,0,IF(H79=1,H38*G83*G90*H42/((1+H23/100)*(1+H41/100)),IF(AND(H79=0,H80=1),(H38*G83*G90*H42/((1+H23/100)*(1+H41/100)))*(1-ABS(H83-G83*H42/((1+H23/100)*(1+H41/100)))/((H38*G83*G90*H42/((1+H23/100)*(1+H41/100)))+(G89*G83*H42/((1+H23/100)*(1+H41/100))))),0)))</f>
        <v>8.1262213509330703</v>
      </c>
      <c r="I85" s="34">
        <f t="shared" si="48"/>
        <v>8.048509850189669</v>
      </c>
      <c r="J85" s="34">
        <f t="shared" si="48"/>
        <v>7.9215339019974236</v>
      </c>
      <c r="K85" s="34">
        <f t="shared" si="48"/>
        <v>7.6948352225601857</v>
      </c>
      <c r="L85" s="34">
        <f t="shared" si="48"/>
        <v>7.4892713859794053</v>
      </c>
      <c r="M85" s="34">
        <f t="shared" si="48"/>
        <v>7.280874173623217</v>
      </c>
      <c r="N85" s="34">
        <f t="shared" si="48"/>
        <v>7.1100113906641109</v>
      </c>
      <c r="O85" s="34">
        <f t="shared" si="48"/>
        <v>6.9657249917079449</v>
      </c>
      <c r="P85" s="34">
        <f t="shared" si="48"/>
        <v>6.8235097149245796</v>
      </c>
      <c r="Q85" s="34">
        <f t="shared" si="48"/>
        <v>6.7041160110805054</v>
      </c>
      <c r="R85" s="34">
        <f t="shared" si="48"/>
        <v>6.605650716731037</v>
      </c>
      <c r="S85" s="34">
        <f t="shared" si="48"/>
        <v>6.5181343264259066</v>
      </c>
      <c r="T85" s="34">
        <f t="shared" si="48"/>
        <v>6.44569717121826</v>
      </c>
      <c r="U85" s="34">
        <f t="shared" si="48"/>
        <v>6.386740471630997</v>
      </c>
      <c r="V85" s="34">
        <f t="shared" si="48"/>
        <v>6.3395433068067373</v>
      </c>
      <c r="W85" s="34">
        <f t="shared" si="48"/>
        <v>6.3140642102294455</v>
      </c>
    </row>
    <row r="86" spans="2:23" x14ac:dyDescent="0.2">
      <c r="B86" s="105" t="s">
        <v>129</v>
      </c>
      <c r="C86" s="34"/>
      <c r="D86" s="254">
        <f>'Input data'!C68*$D$83</f>
        <v>7.2591429731261297</v>
      </c>
      <c r="E86" s="34">
        <f t="shared" ref="E86" si="49">IF(E83=0,0,IF(E79=1,(1-D90)*D83*E42/((1+E23/100)*(1+E41/100)),IF(AND(E79=0,E80=1),(D89*D83*E42/((1+E23/100)*(1+E41/100)))*(1-ABS(E83-D83*E42/((1+E23/100)*(1+E41/100)))/((E38*D83*D90*E42/((1+E23/100)*(1+E41/100)))+(D89*D83*E42/((1+E23/100)*(1+E41/100))))),0)))</f>
        <v>7.0350986971308531</v>
      </c>
      <c r="F86" s="34">
        <f t="shared" ref="F86" si="50">IF(F83=0,0,IF(F79=1,(1-E90)*E83*F42/((1+F23/100)*(1+F41/100)),IF(AND(F79=0,F80=1),(E89*E83*F42/((1+F23/100)*(1+F41/100)))*(1-ABS(F83-E83*F42/((1+F23/100)*(1+F41/100)))/((F38*E83*E90*F42/((1+F23/100)*(1+F41/100)))+(E89*E83*F42/((1+F23/100)*(1+F41/100))))),0)))</f>
        <v>6.9602121255570193</v>
      </c>
      <c r="G86" s="34">
        <f t="shared" ref="G86" si="51">IF(G83=0,0,IF(G79=1,(1-F90)*F83*G42/((1+G23/100)*(1+G41/100)),IF(AND(G79=0,G80=1),(F89*F83*G42/((1+G23/100)*(1+G41/100)))*(1-ABS(G83-F83*G42/((1+G23/100)*(1+G41/100)))/((G38*F83*F90*G42/((1+G23/100)*(1+G41/100)))+(F89*F83*G42/((1+G23/100)*(1+G41/100))))),0)))</f>
        <v>6.9167660376294169</v>
      </c>
      <c r="H86" s="34">
        <f t="shared" ref="H86:W86" si="52">IF(H83=0,0,IF(H79=1,(1-G90)*G83*H42/((1+H23/100)*(1+H41/100)),IF(AND(H79=0,H80=1),(G89*G83*H42/((1+H23/100)*(1+H41/100)))*(1-ABS(H83-G83*H42/((1+H23/100)*(1+H41/100)))/((H38*G83*G90*H42/((1+H23/100)*(1+H41/100)))+(G89*G83*H42/((1+H23/100)*(1+H41/100))))),0)))</f>
        <v>6.9008213919165078</v>
      </c>
      <c r="I86" s="34">
        <f t="shared" si="52"/>
        <v>6.8027175673420741</v>
      </c>
      <c r="J86" s="34">
        <f t="shared" si="52"/>
        <v>6.6664918203224062</v>
      </c>
      <c r="K86" s="34">
        <f t="shared" si="52"/>
        <v>6.450756661780944</v>
      </c>
      <c r="L86" s="34">
        <f t="shared" si="52"/>
        <v>6.2536535591239844</v>
      </c>
      <c r="M86" s="34">
        <f t="shared" si="52"/>
        <v>6.0565158320000529</v>
      </c>
      <c r="N86" s="34">
        <f t="shared" si="52"/>
        <v>5.8920952716009598</v>
      </c>
      <c r="O86" s="34">
        <f t="shared" si="52"/>
        <v>5.7496582049824285</v>
      </c>
      <c r="P86" s="34">
        <f t="shared" si="52"/>
        <v>5.6262936874351688</v>
      </c>
      <c r="Q86" s="34">
        <f t="shared" si="52"/>
        <v>5.520857488340468</v>
      </c>
      <c r="R86" s="34">
        <f t="shared" si="52"/>
        <v>5.4318881644244383</v>
      </c>
      <c r="S86" s="34">
        <f t="shared" si="52"/>
        <v>5.3512897110680715</v>
      </c>
      <c r="T86" s="34">
        <f t="shared" si="52"/>
        <v>5.2825616500588284</v>
      </c>
      <c r="U86" s="34">
        <f t="shared" si="52"/>
        <v>5.224438355673036</v>
      </c>
      <c r="V86" s="34">
        <f t="shared" si="52"/>
        <v>5.1755543286821917</v>
      </c>
      <c r="W86" s="34">
        <f t="shared" si="52"/>
        <v>5.1441310798131861</v>
      </c>
    </row>
    <row r="87" spans="2:23" x14ac:dyDescent="0.2">
      <c r="B87" s="105" t="s">
        <v>130</v>
      </c>
      <c r="C87" s="34"/>
      <c r="D87" s="254">
        <f>'Input data'!C69*$D$83</f>
        <v>5.1662759242534131</v>
      </c>
      <c r="E87" s="34">
        <f>IF(E83=0,0,IF(E79=1,'Input data'!$C$58*(E83-D83*E42/((1+E23/100)*(1+E41/100))),0))</f>
        <v>4.5481690823205021</v>
      </c>
      <c r="F87" s="34">
        <f>IF(F83=0,0,IF(F79=1,'Input data'!$C$58*(F83-E83*F42/((1+F23/100)*(1+F41/100))),0))</f>
        <v>3.2201343356475656</v>
      </c>
      <c r="G87" s="34">
        <f>IF(G83=0,0,IF(G79=1,'Input data'!$C$58*(G83-F83*G42/((1+G23/100)*(1+G41/100))),0))</f>
        <v>3.0822403661795215</v>
      </c>
      <c r="H87" s="34">
        <f>IF(H83=0,0,IF(H79=1,'Input data'!$C$58*(H83-G83*H42/((1+H23/100)*(1+H41/100))),0))</f>
        <v>1.9204339330566222</v>
      </c>
      <c r="I87" s="34">
        <f>IF(I83=0,0,IF(I79=1,'Input data'!$C$58*(I83-H83*I42/((1+I23/100)*(1+I41/100))),0))</f>
        <v>1.4537413858403254</v>
      </c>
      <c r="J87" s="34">
        <f>IF(J83=0,0,IF(J79=1,'Input data'!$C$58*(J83-I83*J42/((1+J23/100)*(1+J41/100))),0))</f>
        <v>0.87128066811271765</v>
      </c>
      <c r="K87" s="34">
        <f>IF(K83=0,0,IF(K79=1,'Input data'!$C$58*(K83-J83*K42/((1+K23/100)*(1+K41/100))),0))</f>
        <v>0.97763908821098933</v>
      </c>
      <c r="L87" s="34">
        <f>IF(L83=0,0,IF(L79=1,'Input data'!$C$58*(L83-K83*L42/((1+L23/100)*(1+L41/100))),0))</f>
        <v>0.7977773726068752</v>
      </c>
      <c r="M87" s="34">
        <f>IF(M83=0,0,IF(M79=1,'Input data'!$C$58*(M83-L83*M42/((1+M23/100)*(1+M41/100))),0))</f>
        <v>0.75066471945872482</v>
      </c>
      <c r="N87" s="34">
        <f>IF(N83=0,0,IF(N79=1,'Input data'!$C$58*(N83-M83*N42/((1+N23/100)*(1+N41/100))),0))</f>
        <v>0.97161616635318715</v>
      </c>
      <c r="O87" s="34">
        <f>IF(O83=0,0,IF(O79=1,'Input data'!$C$58*(O83-N83*O42/((1+O23/100)*(1+O41/100))),0))</f>
        <v>1.2058255550152572</v>
      </c>
      <c r="P87" s="34">
        <f>IF(P83=0,0,IF(P79=1,'Input data'!$C$58*(P83-O83*P42/((1+P23/100)*(1+P41/100))),0))</f>
        <v>1.4320015899682799</v>
      </c>
      <c r="Q87" s="34">
        <f>IF(Q83=0,0,IF(Q79=1,'Input data'!$C$58*(Q83-P83*Q42/((1+Q23/100)*(1+Q41/100))),0))</f>
        <v>1.6447844720222839</v>
      </c>
      <c r="R87" s="34">
        <f>IF(R83=0,0,IF(R79=1,'Input data'!$C$58*(R83-Q83*R42/((1+R23/100)*(1+R41/100))),0))</f>
        <v>1.8426231966874169</v>
      </c>
      <c r="S87" s="34">
        <f>IF(S83=0,0,IF(S79=1,'Input data'!$C$58*(S83-R83*S42/((1+S23/100)*(1+S41/100))),0))</f>
        <v>2.0255314762131666</v>
      </c>
      <c r="T87" s="34">
        <f>IF(T83=0,0,IF(T79=1,'Input data'!$C$58*(T83-S83*T42/((1+T23/100)*(1+T41/100))),0))</f>
        <v>2.2051767084852658</v>
      </c>
      <c r="U87" s="34">
        <f>IF(U83=0,0,IF(U79=1,'Input data'!$C$58*(U83-T83*U42/((1+U23/100)*(1+U41/100))),0))</f>
        <v>2.3823612546143282</v>
      </c>
      <c r="V87" s="34">
        <f>IF(V83=0,0,IF(V79=1,'Input data'!$C$58*(V83-U83*V42/((1+V23/100)*(1+V41/100))),0))</f>
        <v>2.5404812795749292</v>
      </c>
      <c r="W87" s="34">
        <f>IF(W83=0,0,IF(W79=1,'Input data'!$C$58*(W83-V83*W42/((1+W23/100)*(1+W41/100))),0))</f>
        <v>2.7346125415210922</v>
      </c>
    </row>
    <row r="88" spans="2:23" x14ac:dyDescent="0.2">
      <c r="B88" s="107" t="s">
        <v>131</v>
      </c>
      <c r="C88" s="49"/>
      <c r="D88" s="255">
        <f>'Input data'!C70*$D$83</f>
        <v>0.37952439985328523</v>
      </c>
      <c r="E88" s="49">
        <f>IF(E83=0,0,IF(E79=1,'Input data'!$C$57*(E83-D83*E42/((1+E23/100)*(1+E41/100))),0))</f>
        <v>0.30565086677871672</v>
      </c>
      <c r="F88" s="49">
        <f>IF(F83=0,0,IF(F79=1,'Input data'!$C$57*(F83-E83*F42/((1+F23/100)*(1+F41/100))),0))</f>
        <v>0.21640287179746234</v>
      </c>
      <c r="G88" s="49">
        <f>IF(G83=0,0,IF(G79=1,'Input data'!$C$57*(G83-F83*G42/((1+G23/100)*(1+G41/100))),0))</f>
        <v>0.20713597548630724</v>
      </c>
      <c r="H88" s="49">
        <f>IF(H83=0,0,IF(H79=1,'Input data'!$C$57*(H83-G83*H42/((1+H23/100)*(1+H41/100))),0))</f>
        <v>0.12905903136093061</v>
      </c>
      <c r="I88" s="49">
        <f>IF(I83=0,0,IF(I79=1,'Input data'!$C$57*(I83-H83*I42/((1+I23/100)*(1+I41/100))),0))</f>
        <v>9.7695865437677373E-2</v>
      </c>
      <c r="J88" s="49">
        <f>IF(J83=0,0,IF(J79=1,'Input data'!$C$57*(J83-I83*J42/((1+J23/100)*(1+J41/100))),0))</f>
        <v>5.8552724535104544E-2</v>
      </c>
      <c r="K88" s="49">
        <f>IF(K83=0,0,IF(K79=1,'Input data'!$C$57*(K83-J83*K42/((1+K23/100)*(1+K41/100))),0))</f>
        <v>6.5700335519625286E-2</v>
      </c>
      <c r="L88" s="49">
        <f>IF(L83=0,0,IF(L79=1,'Input data'!$C$57*(L83-K83*L42/((1+L23/100)*(1+L41/100))),0))</f>
        <v>5.3613078366323494E-2</v>
      </c>
      <c r="M88" s="49">
        <f>IF(M83=0,0,IF(M79=1,'Input data'!$C$57*(M83-L83*M42/((1+M23/100)*(1+M41/100))),0))</f>
        <v>5.0446964044199342E-2</v>
      </c>
      <c r="N88" s="49">
        <f>IF(N83=0,0,IF(N79=1,'Input data'!$C$57*(N83-M83*N42/((1+N23/100)*(1+N41/100))),0))</f>
        <v>6.5295576757789964E-2</v>
      </c>
      <c r="O88" s="49">
        <f>IF(O83=0,0,IF(O79=1,'Input data'!$C$57*(O83-N83*O42/((1+O23/100)*(1+O41/100))),0))</f>
        <v>8.1035163689714529E-2</v>
      </c>
      <c r="P88" s="49">
        <f>IF(P83=0,0,IF(P79=1,'Input data'!$C$57*(P83-O83*P42/((1+P23/100)*(1+P41/100))),0))</f>
        <v>9.6234884693203196E-2</v>
      </c>
      <c r="Q88" s="49">
        <f>IF(Q83=0,0,IF(Q79=1,'Input data'!$C$57*(Q83-P83*Q42/((1+Q23/100)*(1+Q41/100))),0))</f>
        <v>0.11053454487696607</v>
      </c>
      <c r="R88" s="49">
        <f>IF(R83=0,0,IF(R79=1,'Input data'!$C$57*(R83-Q83*R42/((1+R23/100)*(1+R41/100))),0))</f>
        <v>0.12382991199762769</v>
      </c>
      <c r="S88" s="49">
        <f>IF(S83=0,0,IF(S79=1,'Input data'!$C$57*(S83-R83*S42/((1+S23/100)*(1+S41/100))),0))</f>
        <v>0.13612190756027412</v>
      </c>
      <c r="T88" s="49">
        <f>IF(T83=0,0,IF(T79=1,'Input data'!$C$57*(T83-S83*T42/((1+T23/100)*(1+T41/100))),0))</f>
        <v>0.14819461637184189</v>
      </c>
      <c r="U88" s="49">
        <f>IF(U83=0,0,IF(U79=1,'Input data'!$C$57*(U83-T83*U42/((1+U23/100)*(1+U41/100))),0))</f>
        <v>0.1601019595519047</v>
      </c>
      <c r="V88" s="49">
        <f>IF(V83=0,0,IF(V79=1,'Input data'!$C$57*(V83-U83*V42/((1+V23/100)*(1+V41/100))),0))</f>
        <v>0.17072810862629706</v>
      </c>
      <c r="W88" s="49">
        <f>IF(W83=0,0,IF(W79=1,'Input data'!$C$57*(W83-V83*W42/((1+W23/100)*(1+W41/100))),0))</f>
        <v>0.18377432291796478</v>
      </c>
    </row>
    <row r="89" spans="2:23" x14ac:dyDescent="0.2">
      <c r="B89" s="26" t="s">
        <v>73</v>
      </c>
      <c r="C89" s="36"/>
      <c r="D89" s="260">
        <f>'Baseline NFPC'!$D$93</f>
        <v>6.8434607321399721E-2</v>
      </c>
      <c r="E89" s="36">
        <f t="shared" ref="E89:G89" si="53">IF(E83&lt;&gt;0,(E86+E88)/(E84+E85+E86+E87+E88),0)</f>
        <v>6.8188277747234932E-2</v>
      </c>
      <c r="F89" s="36">
        <f t="shared" si="53"/>
        <v>6.8018353706429835E-2</v>
      </c>
      <c r="G89" s="36">
        <f t="shared" si="53"/>
        <v>6.7860208022108875E-2</v>
      </c>
      <c r="H89" s="36">
        <f t="shared" ref="H89" si="54">IF(H83&lt;&gt;0,(H86+H88)/(H84+H85+H86+H87+H88),0)</f>
        <v>6.7763621650220818E-2</v>
      </c>
      <c r="I89" s="36">
        <f t="shared" ref="I89:W89" si="55">IF(I83&lt;&gt;0,(I86+I88)/(I84+I85+I86+I87+I88),0)</f>
        <v>6.7690685466370221E-2</v>
      </c>
      <c r="J89" s="36">
        <f t="shared" si="55"/>
        <v>6.7646543646119967E-2</v>
      </c>
      <c r="K89" s="36">
        <f t="shared" si="55"/>
        <v>6.7595943909176948E-2</v>
      </c>
      <c r="L89" s="36">
        <f t="shared" si="55"/>
        <v>6.7553771843353844E-2</v>
      </c>
      <c r="M89" s="36">
        <f t="shared" si="55"/>
        <v>6.7513186831029373E-2</v>
      </c>
      <c r="N89" s="36">
        <f t="shared" si="55"/>
        <v>6.7459856168301857E-2</v>
      </c>
      <c r="O89" s="36">
        <f t="shared" si="55"/>
        <v>6.7393092058337822E-2</v>
      </c>
      <c r="P89" s="36">
        <f t="shared" si="55"/>
        <v>6.7313601864185613E-2</v>
      </c>
      <c r="Q89" s="36">
        <f t="shared" si="55"/>
        <v>6.7222613532613829E-2</v>
      </c>
      <c r="R89" s="36">
        <f t="shared" si="55"/>
        <v>6.7121609408419214E-2</v>
      </c>
      <c r="S89" s="36">
        <f t="shared" si="55"/>
        <v>6.7012046805689784E-2</v>
      </c>
      <c r="T89" s="36">
        <f t="shared" si="55"/>
        <v>6.6894909399977304E-2</v>
      </c>
      <c r="U89" s="36">
        <f t="shared" si="55"/>
        <v>6.6771203024926215E-2</v>
      </c>
      <c r="V89" s="36">
        <f t="shared" si="55"/>
        <v>6.6642778431677804E-2</v>
      </c>
      <c r="W89" s="36">
        <f t="shared" si="55"/>
        <v>6.6509020446553324E-2</v>
      </c>
    </row>
    <row r="90" spans="2:23" x14ac:dyDescent="0.2">
      <c r="B90" s="35" t="s">
        <v>74</v>
      </c>
      <c r="C90" s="108"/>
      <c r="D90" s="261">
        <f>'Baseline NFPC'!$D$94</f>
        <v>0.93156539267860028</v>
      </c>
      <c r="E90" s="108">
        <f t="shared" ref="E90:G90" si="56">IF(E83&lt;&gt;0,(E84+E85+E87)/(E84+E85+E86+E87+E88),1)</f>
        <v>0.9318117222527651</v>
      </c>
      <c r="F90" s="108">
        <f t="shared" si="56"/>
        <v>0.93198164629357017</v>
      </c>
      <c r="G90" s="108">
        <f t="shared" si="56"/>
        <v>0.9321397919778911</v>
      </c>
      <c r="H90" s="108">
        <f t="shared" ref="H90" si="57">IF(H83&lt;&gt;0,(H84+H85+H87)/(H84+H85+H86+H87+H88),1)</f>
        <v>0.93223637834977924</v>
      </c>
      <c r="I90" s="108">
        <f t="shared" ref="I90:W90" si="58">IF(I83&lt;&gt;0,(I84+I85+I87)/(I84+I85+I86+I87+I88),1)</f>
        <v>0.93230931453362986</v>
      </c>
      <c r="J90" s="108">
        <f t="shared" si="58"/>
        <v>0.93235345635388001</v>
      </c>
      <c r="K90" s="108">
        <f t="shared" si="58"/>
        <v>0.93240405609082311</v>
      </c>
      <c r="L90" s="108">
        <f t="shared" si="58"/>
        <v>0.93244622815664613</v>
      </c>
      <c r="M90" s="108">
        <f t="shared" si="58"/>
        <v>0.93248681316897053</v>
      </c>
      <c r="N90" s="108">
        <f t="shared" si="58"/>
        <v>0.93254014383169803</v>
      </c>
      <c r="O90" s="108">
        <f t="shared" si="58"/>
        <v>0.93260690794166212</v>
      </c>
      <c r="P90" s="108">
        <f t="shared" si="58"/>
        <v>0.93268639813581444</v>
      </c>
      <c r="Q90" s="108">
        <f t="shared" si="58"/>
        <v>0.93277738646738617</v>
      </c>
      <c r="R90" s="108">
        <f t="shared" si="58"/>
        <v>0.93287839059158073</v>
      </c>
      <c r="S90" s="108">
        <f t="shared" si="58"/>
        <v>0.93298795319431005</v>
      </c>
      <c r="T90" s="108">
        <f t="shared" si="58"/>
        <v>0.93310509060002278</v>
      </c>
      <c r="U90" s="108">
        <f t="shared" si="58"/>
        <v>0.93322879697507377</v>
      </c>
      <c r="V90" s="108">
        <f t="shared" si="58"/>
        <v>0.93335722156832224</v>
      </c>
      <c r="W90" s="108">
        <f t="shared" si="58"/>
        <v>0.93349097955344651</v>
      </c>
    </row>
    <row r="92" spans="2:23" x14ac:dyDescent="0.2">
      <c r="B92" s="113" t="s">
        <v>132</v>
      </c>
      <c r="C92" s="113"/>
      <c r="D92" s="113"/>
      <c r="E92" s="115">
        <f t="shared" ref="E92:G92" si="59">E94+E95</f>
        <v>2.3933340000000003</v>
      </c>
      <c r="F92" s="115">
        <f t="shared" si="59"/>
        <v>2.4819740000000001</v>
      </c>
      <c r="G92" s="115">
        <f t="shared" si="59"/>
        <v>2.5283959999999999</v>
      </c>
      <c r="H92" s="115">
        <f t="shared" ref="H92:W92" si="60">H94+H95</f>
        <v>2.6361246787580406</v>
      </c>
      <c r="I92" s="115">
        <f t="shared" si="60"/>
        <v>2.73386480148549</v>
      </c>
      <c r="J92" s="115">
        <f>J94+J95</f>
        <v>2.8287631783892073</v>
      </c>
      <c r="K92" s="115">
        <f t="shared" si="60"/>
        <v>3.1641058217455638</v>
      </c>
      <c r="L92" s="115">
        <f t="shared" si="60"/>
        <v>3.1390123972211779</v>
      </c>
      <c r="M92" s="115">
        <f t="shared" si="60"/>
        <v>3.2211075425444089</v>
      </c>
      <c r="N92" s="115">
        <f t="shared" si="60"/>
        <v>3.3055287083759346</v>
      </c>
      <c r="O92" s="115">
        <f t="shared" si="60"/>
        <v>3.394711254318223</v>
      </c>
      <c r="P92" s="115">
        <f t="shared" si="60"/>
        <v>3.4744469857701379</v>
      </c>
      <c r="Q92" s="115">
        <f t="shared" si="60"/>
        <v>3.5463666975509476</v>
      </c>
      <c r="R92" s="115">
        <f t="shared" si="60"/>
        <v>3.6106840718392514</v>
      </c>
      <c r="S92" s="115">
        <f t="shared" si="60"/>
        <v>3.6676601598276215</v>
      </c>
      <c r="T92" s="115">
        <f t="shared" si="60"/>
        <v>3.7176274485526433</v>
      </c>
      <c r="U92" s="115">
        <f t="shared" si="60"/>
        <v>3.761009320772986</v>
      </c>
      <c r="V92" s="115">
        <f t="shared" si="60"/>
        <v>3.7982384223959595</v>
      </c>
      <c r="W92" s="115">
        <f t="shared" si="60"/>
        <v>3.8296914449979762</v>
      </c>
    </row>
    <row r="93" spans="2:23" x14ac:dyDescent="0.2">
      <c r="B93" s="33" t="s">
        <v>133</v>
      </c>
      <c r="C93" s="97"/>
      <c r="D93" s="97"/>
      <c r="E93" s="266">
        <f>((E35*D83)-(E37*(D86+D88)))/(D84+D85+D87)</f>
        <v>2.3171786788845403</v>
      </c>
      <c r="F93" s="266">
        <f t="shared" ref="F93:G93" si="61">((F35*E83)-(F37*(E86+E88)))/(E84+E85+E87)</f>
        <v>2.4027780950578612</v>
      </c>
      <c r="G93" s="266">
        <f t="shared" si="61"/>
        <v>2.5073785716419161</v>
      </c>
      <c r="H93" s="34">
        <f t="shared" ref="H93:W93" si="62">IF(G83&gt;0,(G93*G84+H36*(G87+G85))/(G84+G85+G87),H36)</f>
        <v>2.6238239707161251</v>
      </c>
      <c r="I93" s="34">
        <f t="shared" si="62"/>
        <v>2.7295078805118211</v>
      </c>
      <c r="J93" s="34">
        <f t="shared" si="62"/>
        <v>2.8321208187286797</v>
      </c>
      <c r="K93" s="34">
        <f t="shared" si="62"/>
        <v>3.0790722351788253</v>
      </c>
      <c r="L93" s="34">
        <f t="shared" si="62"/>
        <v>3.1664932855877446</v>
      </c>
      <c r="M93" s="34">
        <f t="shared" si="62"/>
        <v>3.2553352846822885</v>
      </c>
      <c r="N93" s="34">
        <f t="shared" si="62"/>
        <v>3.3466636871497686</v>
      </c>
      <c r="O93" s="34">
        <f t="shared" si="62"/>
        <v>3.4430792457078971</v>
      </c>
      <c r="P93" s="34">
        <f t="shared" si="62"/>
        <v>3.5311490788972959</v>
      </c>
      <c r="Q93" s="34">
        <f t="shared" si="62"/>
        <v>3.6108078135308745</v>
      </c>
      <c r="R93" s="34">
        <f t="shared" si="62"/>
        <v>3.6822833371220516</v>
      </c>
      <c r="S93" s="34">
        <f t="shared" si="62"/>
        <v>3.7458557436350515</v>
      </c>
      <c r="T93" s="34">
        <f t="shared" si="62"/>
        <v>3.8018827145602621</v>
      </c>
      <c r="U93" s="34">
        <f t="shared" si="62"/>
        <v>3.8508195173665718</v>
      </c>
      <c r="V93" s="34">
        <f t="shared" si="62"/>
        <v>3.8931318785915141</v>
      </c>
      <c r="W93" s="34">
        <f t="shared" si="62"/>
        <v>3.9292273208937649</v>
      </c>
    </row>
    <row r="94" spans="2:23" x14ac:dyDescent="0.2">
      <c r="B94" s="26" t="s">
        <v>134</v>
      </c>
      <c r="C94" s="97"/>
      <c r="D94" s="97"/>
      <c r="E94" s="34">
        <f t="shared" ref="E94" si="63">(E93*(D84+D85+D87)+E37*(D86+D88))/D83</f>
        <v>2.3933340000000003</v>
      </c>
      <c r="F94" s="34">
        <f t="shared" ref="F94" si="64">(F93*(E84+E85+E87)+F37*(E86+E88))/E83</f>
        <v>2.4819740000000001</v>
      </c>
      <c r="G94" s="34">
        <f t="shared" ref="G94" si="65">(G93*(F84+F85+F87)+G37*(F86+F88))/F83</f>
        <v>2.5283959999999999</v>
      </c>
      <c r="H94" s="34">
        <f t="shared" ref="H94:W94" si="66">(H93*(G84+G85+G87)+H37*(G86+G88))/G83</f>
        <v>2.6361246787580406</v>
      </c>
      <c r="I94" s="34">
        <f t="shared" si="66"/>
        <v>2.73386480148549</v>
      </c>
      <c r="J94" s="34">
        <f>(J93*(I84+I85+I87)+J37*(I86+I88))/I83</f>
        <v>2.8287631783892073</v>
      </c>
      <c r="K94" s="34">
        <f>(K93*(J84+J85+J87)+K37*(J86+J88))/J83</f>
        <v>3.1641058217455638</v>
      </c>
      <c r="L94" s="34">
        <f t="shared" si="66"/>
        <v>3.1390123972211779</v>
      </c>
      <c r="M94" s="34">
        <f t="shared" si="66"/>
        <v>3.2211075425444089</v>
      </c>
      <c r="N94" s="34">
        <f t="shared" si="66"/>
        <v>3.3055287083759346</v>
      </c>
      <c r="O94" s="34">
        <f t="shared" si="66"/>
        <v>3.394711254318223</v>
      </c>
      <c r="P94" s="34">
        <f t="shared" si="66"/>
        <v>3.4744469857701379</v>
      </c>
      <c r="Q94" s="34">
        <f t="shared" si="66"/>
        <v>3.5463666975509476</v>
      </c>
      <c r="R94" s="34">
        <f t="shared" si="66"/>
        <v>3.6106840718392514</v>
      </c>
      <c r="S94" s="34">
        <f t="shared" si="66"/>
        <v>3.6676601598276215</v>
      </c>
      <c r="T94" s="34">
        <f t="shared" si="66"/>
        <v>3.7176274485526433</v>
      </c>
      <c r="U94" s="97">
        <f t="shared" si="66"/>
        <v>3.761009320772986</v>
      </c>
      <c r="V94" s="97">
        <f t="shared" si="66"/>
        <v>3.7982384223959595</v>
      </c>
      <c r="W94" s="97">
        <f t="shared" si="66"/>
        <v>3.8296914449979762</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-8.4497143178961629</v>
      </c>
      <c r="D97" s="115">
        <f t="shared" si="67"/>
        <v>-9.2163584932544946</v>
      </c>
      <c r="E97" s="115">
        <f>((1+E92/100)/((1+E23/100)*(1+E41/100))-1)*100</f>
        <v>-5.697334787438213</v>
      </c>
      <c r="F97" s="115">
        <f t="shared" si="67"/>
        <v>-2.8305935414681183</v>
      </c>
      <c r="G97" s="115">
        <f t="shared" si="67"/>
        <v>-1.1839247881014203</v>
      </c>
      <c r="H97" s="115">
        <f t="shared" si="67"/>
        <v>-0.57786260077836715</v>
      </c>
      <c r="I97" s="115">
        <f t="shared" si="67"/>
        <v>-0.58586707507780611</v>
      </c>
      <c r="J97" s="115">
        <f t="shared" si="67"/>
        <v>-0.65709608555241106</v>
      </c>
      <c r="K97" s="115">
        <f t="shared" si="67"/>
        <v>-1.0435487159439649</v>
      </c>
      <c r="L97" s="115">
        <f t="shared" si="67"/>
        <v>-1.0205005220468855</v>
      </c>
      <c r="M97" s="115">
        <f t="shared" si="67"/>
        <v>-0.88253629360525165</v>
      </c>
      <c r="N97" s="115">
        <f t="shared" si="67"/>
        <v>-0.32917547375092004</v>
      </c>
      <c r="O97" s="115">
        <f t="shared" si="67"/>
        <v>-0.21063498310536222</v>
      </c>
      <c r="P97" s="115">
        <f t="shared" si="67"/>
        <v>-0.15293360908366083</v>
      </c>
      <c r="Q97" s="115">
        <f t="shared" si="67"/>
        <v>-0.10277331651589172</v>
      </c>
      <c r="R97" s="115">
        <f t="shared" si="67"/>
        <v>-5.9941627577886347E-2</v>
      </c>
      <c r="S97" s="115">
        <f t="shared" si="67"/>
        <v>-0.14689810519427082</v>
      </c>
      <c r="T97" s="115">
        <f t="shared" si="67"/>
        <v>-0.15424406384050293</v>
      </c>
      <c r="U97" s="115">
        <f>((1+U92/100)/((1+U23/100)*(1+U41/100))-1)*100</f>
        <v>-0.18093791657463054</v>
      </c>
      <c r="V97" s="115">
        <f t="shared" ref="V97:W97" si="68">((1+V92/100)/((1+V23/100)*(1+V41/100))-1)*100</f>
        <v>-0.23040209066106376</v>
      </c>
      <c r="W97" s="115">
        <f t="shared" si="68"/>
        <v>-9.6272684291665023E-2</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116.84076690673828</v>
      </c>
      <c r="D102" s="34">
        <v>111.61799621582031</v>
      </c>
      <c r="E102" s="34">
        <v>107.65208435058594</v>
      </c>
      <c r="F102" s="34">
        <v>105.50792694091797</v>
      </c>
      <c r="G102" s="34">
        <v>104.97699737548828</v>
      </c>
      <c r="H102" s="34">
        <v>103.73914337158203</v>
      </c>
      <c r="I102" s="34">
        <v>101.93830108642578</v>
      </c>
      <c r="J102" s="34">
        <v>99.41241455078125</v>
      </c>
      <c r="K102" s="34">
        <v>96.401023864746094</v>
      </c>
      <c r="L102" s="34">
        <v>93.36456298828125</v>
      </c>
      <c r="M102" s="34">
        <v>90.453819274902344</v>
      </c>
      <c r="N102" s="34">
        <v>88.308128356933594</v>
      </c>
      <c r="O102" s="34">
        <v>86.515632629394531</v>
      </c>
      <c r="P102" s="34">
        <v>85.010910034179688</v>
      </c>
      <c r="Q102" s="34">
        <v>83.770217895507813</v>
      </c>
      <c r="R102" s="34">
        <v>82.768844604492188</v>
      </c>
      <c r="S102" s="34">
        <v>81.884834289550781</v>
      </c>
      <c r="T102" s="34">
        <v>81.1812744140625</v>
      </c>
      <c r="U102" s="34">
        <v>80.6395263671875</v>
      </c>
      <c r="V102" s="34">
        <v>80.220855712890625</v>
      </c>
      <c r="W102" s="34">
        <v>80.105857849121094</v>
      </c>
      <c r="X102" s="34"/>
      <c r="Y102" s="34"/>
      <c r="Z102" s="34"/>
    </row>
    <row r="103" spans="1:54" s="5" customFormat="1" ht="12.75" x14ac:dyDescent="0.2">
      <c r="A103" s="26"/>
      <c r="B103" s="26" t="s">
        <v>132</v>
      </c>
      <c r="C103" s="1">
        <v>1.9449599981307983</v>
      </c>
      <c r="D103" s="1">
        <v>2.2273135185241699</v>
      </c>
      <c r="E103" s="1">
        <v>2.3933341503143311</v>
      </c>
      <c r="F103" s="1">
        <v>2.4819738864898682</v>
      </c>
      <c r="G103" s="1">
        <v>2.5283956527709961</v>
      </c>
      <c r="H103" s="1">
        <v>2.6361241340637207</v>
      </c>
      <c r="I103" s="1">
        <v>2.7338643074035645</v>
      </c>
      <c r="J103" s="1">
        <v>2.8287622928619385</v>
      </c>
      <c r="K103" s="1">
        <v>3.1640851497650146</v>
      </c>
      <c r="L103" s="1">
        <v>3.139000415802002</v>
      </c>
      <c r="M103" s="1">
        <v>3.2210962772369385</v>
      </c>
      <c r="N103" s="1">
        <v>3.3055179119110107</v>
      </c>
      <c r="O103" s="1">
        <v>3.3947012424468994</v>
      </c>
      <c r="P103" s="1">
        <v>3.4744374752044678</v>
      </c>
      <c r="Q103" s="1">
        <v>3.5463581085205078</v>
      </c>
      <c r="R103" s="1">
        <v>3.6106760501861572</v>
      </c>
      <c r="S103" s="1">
        <v>3.6676526069641113</v>
      </c>
      <c r="T103" s="1">
        <v>3.7176206111907959</v>
      </c>
      <c r="U103" s="99">
        <v>3.7610030174255371</v>
      </c>
      <c r="V103" s="99">
        <v>3.7982330322265625</v>
      </c>
      <c r="W103" s="99">
        <v>3.8296866416931152</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116.84076690673828</v>
      </c>
      <c r="D107" s="34">
        <v>111.61799621582031</v>
      </c>
      <c r="E107" s="34">
        <v>107.65208435058594</v>
      </c>
      <c r="F107" s="34">
        <v>105.50792694091797</v>
      </c>
      <c r="G107" s="34">
        <v>104.90052032470703</v>
      </c>
      <c r="H107" s="34">
        <v>103.93359375</v>
      </c>
      <c r="I107" s="34">
        <v>102.76080322265625</v>
      </c>
      <c r="J107" s="34">
        <v>101.22218322753906</v>
      </c>
      <c r="K107" s="34">
        <v>99.339599609375</v>
      </c>
      <c r="L107" s="34">
        <v>97.119529724121094</v>
      </c>
      <c r="M107" s="34">
        <v>94.566413879394531</v>
      </c>
      <c r="N107" s="34">
        <v>92.02899169921875</v>
      </c>
      <c r="O107" s="34">
        <v>89.587882995605469</v>
      </c>
      <c r="P107" s="34">
        <v>87.251388549804688</v>
      </c>
      <c r="Q107" s="34">
        <v>85.459701538085938</v>
      </c>
      <c r="R107" s="34">
        <v>83.903945922851563</v>
      </c>
      <c r="S107" s="34">
        <v>82.461074829101563</v>
      </c>
      <c r="T107" s="34">
        <v>81.19635009765625</v>
      </c>
      <c r="U107" s="34">
        <v>80.091880798339844</v>
      </c>
      <c r="V107" s="34">
        <v>79.109931945800781</v>
      </c>
      <c r="W107" s="34">
        <v>78.430099487304688</v>
      </c>
      <c r="X107" s="34"/>
      <c r="Y107" s="34"/>
      <c r="Z107" s="34"/>
    </row>
    <row r="108" spans="1:54" x14ac:dyDescent="0.2">
      <c r="B108" s="26" t="s">
        <v>132</v>
      </c>
      <c r="C108" s="1">
        <v>1.9449599981307983</v>
      </c>
      <c r="D108" s="1">
        <v>2.2273135185241699</v>
      </c>
      <c r="E108" s="1">
        <v>2.3933341503143311</v>
      </c>
      <c r="F108" s="1">
        <v>2.4819738864898682</v>
      </c>
      <c r="G108" s="1">
        <v>2.5283956527709961</v>
      </c>
      <c r="H108" s="1">
        <v>2.637753963470459</v>
      </c>
      <c r="I108" s="1">
        <v>2.7390584945678711</v>
      </c>
      <c r="J108" s="1">
        <v>2.8397426605224609</v>
      </c>
      <c r="K108" s="1">
        <v>2.9391319751739502</v>
      </c>
      <c r="L108" s="1">
        <v>3.0367598533630371</v>
      </c>
      <c r="M108" s="1">
        <v>3.1322636604309082</v>
      </c>
      <c r="N108" s="1">
        <v>3.4244344234466553</v>
      </c>
      <c r="O108" s="1">
        <v>3.424588680267334</v>
      </c>
      <c r="P108" s="1">
        <v>3.4990634918212891</v>
      </c>
      <c r="Q108" s="1">
        <v>3.5648765563964844</v>
      </c>
      <c r="R108" s="1">
        <v>3.6239144802093506</v>
      </c>
      <c r="S108" s="1">
        <v>3.6764161586761475</v>
      </c>
      <c r="T108" s="1">
        <v>3.7226681709289551</v>
      </c>
      <c r="U108" s="1">
        <v>3.763038158416748</v>
      </c>
      <c r="V108" s="1">
        <v>3.7978940010070801</v>
      </c>
      <c r="W108" s="1">
        <v>3.8275425434112549</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-2.1969370000000001</v>
      </c>
      <c r="D12" s="2">
        <f>'Adjustment scenario'!D12</f>
        <v>-2.3947409999999998</v>
      </c>
      <c r="E12" s="2">
        <f>'Adjustment scenario'!E12</f>
        <v>-1.6308560000000001</v>
      </c>
      <c r="F12" s="2">
        <f>'Adjust. no safeguard'!F12</f>
        <v>-0.84895830000000005</v>
      </c>
      <c r="G12" s="3">
        <f>'Adjust. no safeguard'!G12</f>
        <v>1.1041699999999932E-2</v>
      </c>
      <c r="H12" s="3">
        <f>'Adjust. no safeguard'!H12</f>
        <v>0.87104169999999992</v>
      </c>
      <c r="I12" s="3">
        <f>'Adjust. no safeguard'!I12</f>
        <v>1.7310417</v>
      </c>
      <c r="J12" s="3">
        <f>'Adjust. no safeguard'!J12</f>
        <v>2.5910416999999999</v>
      </c>
      <c r="K12" s="3">
        <f>IF(AND('Criteria results'!$F$5=4,'Criteria results'!$F$5=4),'Adjust. no safeguard'!K12-0.25,IF(AND('Criteria results'!$F$5=4,'Criteria results'!$F$5=7),'Adjust. no safeguard'!K12-0.5/3,IF(AND('Criteria results'!$F$5=7,'Criteria results'!$F$5=7),'Adjust. no safeguard'!K12,'Adjust. no safeguard'!K12)))</f>
        <v>2.3410416999999999</v>
      </c>
      <c r="L12" s="3">
        <f>IF(AND('Criteria results'!$F$5=4,'Criteria results'!$F$5=4),'Adjust. no safeguard'!L12-0.5,IF(AND('Criteria results'!$F$5=4,'Criteria results'!$F$5=7),'Adjust. no safeguard'!L12-0.5*2/3,IF(AND('Criteria results'!$F$5=7,'Criteria results'!$F$5=7),'Adjust. no safeguard'!L12,'Adjust. no safeguard'!L12)))</f>
        <v>2.0910416999999999</v>
      </c>
      <c r="M12" s="3">
        <f>IF('Criteria results'!$F$5=4,'Adjust. no safeguard'!M12-0.5,'Adjust. no safeguard'!M12)</f>
        <v>2.0910416999999999</v>
      </c>
      <c r="N12" s="3">
        <f>IF('Criteria results'!$F$5=4,'Adjust. no safeguard'!N12-0.5,IF(AND('Criteria results'!$F$5=7,'Criteria results'!$F$5=7),'Adjust. no safeguard'!N12-0.25,'Adjust. no safeguard'!N12-1/3*0.5))</f>
        <v>2.0910416999999999</v>
      </c>
      <c r="O12" s="3">
        <f>IF('Criteria results'!$F$5=4,'Adjust. no safeguard'!N12-0.5,IF(AND('Criteria results'!$F$5=7,'Criteria results'!$F$5=7),'Adjust. no safeguard'!O12-0.5,'Adjust. no safeguard'!O12-2/3*0.5))</f>
        <v>2.0910416999999999</v>
      </c>
      <c r="P12" s="3">
        <f>'Adjust. no safeguard'!P12-0.5</f>
        <v>2.0910416999999999</v>
      </c>
      <c r="Q12" s="3">
        <f>'Adjust. no safeguard'!Q12-0.5</f>
        <v>2.0910416999999999</v>
      </c>
      <c r="R12" s="3">
        <f>'Adjust. no safeguard'!R12-0.5</f>
        <v>2.0910416999999999</v>
      </c>
      <c r="S12" s="3">
        <f>'Adjust. no safeguard'!S12-0.5</f>
        <v>2.0910416999999999</v>
      </c>
      <c r="T12" s="3">
        <f>'Adjust. no safeguard'!T12-0.5</f>
        <v>2.0910416999999999</v>
      </c>
      <c r="U12" s="3">
        <f>'Adjust. no safeguard'!U12-0.5</f>
        <v>2.0910416999999999</v>
      </c>
      <c r="V12" s="3">
        <f>'Adjust. no safeguard'!V12-0.5</f>
        <v>2.0910416999999999</v>
      </c>
      <c r="W12" s="3">
        <f>'Adjust. no safeguard'!W12-0.5</f>
        <v>2.0910416999999999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-9.2449400000000001E-2</v>
      </c>
      <c r="D13" s="2">
        <f>'Input data'!D14</f>
        <v>-6.6846100000000006E-2</v>
      </c>
      <c r="E13" s="2">
        <f>'Input data'!E14</f>
        <v>0</v>
      </c>
      <c r="F13" s="2">
        <f>'Input data'!F14</f>
        <v>-0.18809000000000001</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1.03254E-2</v>
      </c>
      <c r="D14" s="2">
        <f>'Input data'!D15</f>
        <v>0.81181420000000004</v>
      </c>
      <c r="E14" s="2">
        <f>'Input data'!E15</f>
        <v>1.217482</v>
      </c>
      <c r="F14" s="2">
        <f>'Input data'!F15</f>
        <v>0.45447080000000001</v>
      </c>
      <c r="G14" s="2">
        <f>'Input data'!G15</f>
        <v>0.94</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22.788010000000003</v>
      </c>
      <c r="E17" s="101">
        <f>'Input data'!E20</f>
        <v>23.134040000000002</v>
      </c>
      <c r="F17" s="101">
        <f>'Input data'!F20</f>
        <v>23.198610000000002</v>
      </c>
      <c r="G17" s="101">
        <f>'Input data'!G20</f>
        <v>23.248739999999998</v>
      </c>
      <c r="H17" s="101">
        <f>'Input data'!H20</f>
        <v>23.324060000000006</v>
      </c>
      <c r="I17" s="101">
        <f>'Input data'!I20</f>
        <v>23.427720000000001</v>
      </c>
      <c r="J17" s="101">
        <f>'Input data'!J20</f>
        <v>23.512549999999997</v>
      </c>
      <c r="K17" s="101">
        <f>'Input data'!K20</f>
        <v>23.64058</v>
      </c>
      <c r="L17" s="101">
        <f>'Input data'!L20</f>
        <v>23.807760000000002</v>
      </c>
      <c r="M17" s="101">
        <f>'Input data'!M20</f>
        <v>24.019580000000001</v>
      </c>
      <c r="N17" s="101">
        <f>'Input data'!N20</f>
        <v>24.259330000000002</v>
      </c>
      <c r="O17" s="101">
        <f>'Input data'!O20</f>
        <v>24.501700000000003</v>
      </c>
      <c r="P17" s="101">
        <f>'Input data'!P20</f>
        <v>24.736699999999999</v>
      </c>
      <c r="Q17" s="101">
        <f>'Input data'!Q20</f>
        <v>24.956709999999998</v>
      </c>
      <c r="R17" s="101">
        <f>'Input data'!R20</f>
        <v>25.159790000000001</v>
      </c>
      <c r="S17" s="101">
        <f>'Input data'!S20</f>
        <v>25.349450000000001</v>
      </c>
      <c r="T17" s="101">
        <f>'Input data'!T20</f>
        <v>25.535530000000001</v>
      </c>
      <c r="U17" s="101">
        <f>'Input data'!U20</f>
        <v>25.718830000000001</v>
      </c>
      <c r="V17" s="101">
        <f>'Input data'!V20</f>
        <v>25.881730000000001</v>
      </c>
      <c r="W17" s="101">
        <f>'Input data'!W20</f>
        <v>26.077779999999997</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0.55616920000000003</v>
      </c>
      <c r="D18" s="101">
        <f>'Input data'!D26</f>
        <v>0.54702360000000005</v>
      </c>
      <c r="E18" s="101">
        <f>'Input data'!E26</f>
        <v>0.54794100000000001</v>
      </c>
      <c r="F18" s="101">
        <f>'Input data'!F26</f>
        <v>0.54885830000000002</v>
      </c>
      <c r="G18" s="101">
        <f>'Input data'!G26</f>
        <v>0.54977569999999998</v>
      </c>
      <c r="H18" s="101">
        <f>'Input data'!H26</f>
        <v>0.55069310000000005</v>
      </c>
      <c r="I18" s="101">
        <f>'Input data'!I26</f>
        <v>0.5516105</v>
      </c>
      <c r="J18" s="101">
        <f>'Input data'!J26</f>
        <v>0.55252780000000001</v>
      </c>
      <c r="K18" s="101">
        <f>'Input data'!K26</f>
        <v>0.55344519999999997</v>
      </c>
      <c r="L18" s="101">
        <f>'Input data'!L26</f>
        <v>0.55436260000000004</v>
      </c>
      <c r="M18" s="101">
        <f>'Input data'!M26</f>
        <v>0.55528</v>
      </c>
      <c r="N18" s="101">
        <f>'Input data'!N26</f>
        <v>0.55619730000000001</v>
      </c>
      <c r="O18" s="101">
        <f>'Input data'!O26</f>
        <v>0.55711469999999996</v>
      </c>
      <c r="P18" s="101">
        <f>'Input data'!P26</f>
        <v>0.55803210000000003</v>
      </c>
      <c r="Q18" s="101">
        <f>'Input data'!Q26</f>
        <v>0.55894949999999999</v>
      </c>
      <c r="R18" s="101">
        <f>'Input data'!R26</f>
        <v>0.5598668</v>
      </c>
      <c r="S18" s="101">
        <f>'Input data'!S26</f>
        <v>0.56078419999999995</v>
      </c>
      <c r="T18" s="101">
        <f>'Input data'!T26</f>
        <v>0.56170160000000002</v>
      </c>
      <c r="U18" s="101">
        <f>'Input data'!U26</f>
        <v>0.56261899999999998</v>
      </c>
      <c r="V18" s="101">
        <f>'Input data'!V26</f>
        <v>0.56353629999999999</v>
      </c>
      <c r="W18" s="101">
        <f>'Input data'!W26</f>
        <v>0.56445369999999995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1127.8630000000001</v>
      </c>
      <c r="D22" s="100">
        <f>IF(AND(D49&gt;1,C49&gt;1),IF(AND(D49&gt;0,C49&gt;0),D26*(D50/100+1),0)+IF(D49&gt;0,C22*(1+D51/100),0)-C22*(1+'Input data'!D30/100),IF(D49=1,D26,C22*(1+D51/100)))</f>
        <v>1192.94800365224</v>
      </c>
      <c r="E22" s="100">
        <f>IF(AND(E49&gt;1,D49&gt;1),IF(AND(E49&gt;0,D49&gt;0),E26*(E50/100+1),0)+IF(E49&gt;0,D22*(1+E51/100),0)-D22*(1+'Input data'!E30/100),IF(E49=1,E26,D22*(1+E51/100)))</f>
        <v>1222.8109994507863</v>
      </c>
      <c r="F22" s="100">
        <f>IF(AND(F49&gt;1,E49&gt;1),IF(AND(F49&gt;0,E49&gt;0),F26*(F50/100+1),0)+IF(F49&gt;0,E22*(1+F51/100),0)-E22*(1+'Input data'!F30/100),IF(F49=1,F26,E22*(1+F51/100)))</f>
        <v>1249.0368348338773</v>
      </c>
      <c r="G22" s="34">
        <f>IF(AND(G49&gt;1,F49&gt;1),IF(AND(G49&gt;0,F49&gt;0),G26*(G50/100+1),0)+IF(G49&gt;0,F22*(1+G51/100),0)-F22*(1+'Input data'!G30/100),IF(G49=1,G26,F22*(1+G51/100)))</f>
        <v>1266.3000102451149</v>
      </c>
      <c r="H22" s="34">
        <f>IF(AND(H49&gt;1,G49&gt;1),IF(AND(H49&gt;0,G49&gt;0),H26*(H50/100+1),0)+IF(H49&gt;0,G22*(1+H51/100),0)-G22*(1+'Input data'!H30/100),IF(H49=1,H26,G22*(1+H51/100)))</f>
        <v>1276.9926754143514</v>
      </c>
      <c r="I22" s="34">
        <f>IF(AND(I49&gt;1,H49&gt;1),IF(AND(I49&gt;0,H49&gt;0),I26*(I50/100+1),0)+IF(I49&gt;0,H22*(1+I51/100),0)-H22*(1+'Input data'!I30/100),IF(I49=1,I26,H22*(1+I51/100)))</f>
        <v>1288.7789121456826</v>
      </c>
      <c r="J22" s="34">
        <f>IF(AND(J49&gt;1,I49&gt;1),IF(AND(J49&gt;0,I49&gt;0),J26*(J50/100+1),0)+IF(J49&gt;0,I22*(1+J51/100),0)-I22*(1+'Input data'!J30/100),IF(J49=1,J26,I22*(1+J51/100)))</f>
        <v>1302.4786109935392</v>
      </c>
      <c r="K22" s="34">
        <f>IF(AND(K49&gt;1,J49&gt;1),IF(AND(K49&gt;0,J49&gt;0),K26*(K50/100+1),0)+IF(K49&gt;0,J22*(1+K51/100),0)-J22*(1+'Input data'!K30/100),IF(K49=1,K26,J22*(1+K51/100)))</f>
        <v>1327.8802502435974</v>
      </c>
      <c r="L22" s="34">
        <f>IF(AND(L49&gt;1,K49&gt;1),IF(AND(L49&gt;0,K49&gt;0),L26*(L50/100+1),0)+IF(L49&gt;0,K22*(1+L51/100),0)-K22*(1+'Input data'!L30/100),IF(L49=1,L26,K22*(1+L51/100)))</f>
        <v>1350.1059189430885</v>
      </c>
      <c r="M22" s="34">
        <f>IF(AND(M49&gt;1,L49&gt;1),IF(AND(M49&gt;0,L49&gt;0),M26*(M50/100+1),0)+IF(M49&gt;0,L22*(1+M51/100),0)-L22*(1+'Input data'!M30/100),IF(M49=1,M26,L22*(1+M51/100)))</f>
        <v>1367.2083040098569</v>
      </c>
      <c r="N22" s="34">
        <f>IF(AND(N49&gt;1,M49&gt;1),IF(AND(N49&gt;0,M49&gt;0),N26*(N50/100+1),0)+IF(N49&gt;0,M22*(1+N51/100),0)-M22*(1+'Input data'!N30/100),IF(N49=1,N26,M22*(1+N51/100)))</f>
        <v>1383.2935175742655</v>
      </c>
      <c r="O22" s="34">
        <f>IF(AND(O49&gt;1,N49&gt;1),IF(AND(O49&gt;0,N49&gt;0),O26*(O50/100+1),0)+IF(O49&gt;0,N22*(1+O51/100),0)-N22*(1+'Input data'!O30/100),IF(O49=1,O26,N22*(1+O51/100)))</f>
        <v>1398.7570634312199</v>
      </c>
      <c r="P22" s="34">
        <f>IF(AND(P49&gt;1,O49&gt;1),IF(AND(P49&gt;0,O49&gt;0),P26*(P50/100+1),0)+IF(P49&gt;0,O22*(1+P51/100),0)-O22*(1+'Input data'!P30/100),IF(P49=1,P26,O22*(1+P51/100)))</f>
        <v>1413.9072109988028</v>
      </c>
      <c r="Q22" s="34">
        <f>IF(AND(Q49&gt;1,P49&gt;1),IF(AND(Q49&gt;0,P49&gt;0),Q26*(Q50/100+1),0)+IF(Q49&gt;0,P22*(1+Q51/100),0)-P22*(1+'Input data'!Q30/100),IF(Q49=1,Q26,P22*(1+Q51/100)))</f>
        <v>1429.8802338740334</v>
      </c>
      <c r="R22" s="34">
        <f>IF(AND(R49&gt;1,Q49&gt;1),IF(AND(R49&gt;0,Q49&gt;0),R26*(R50/100+1),0)+IF(R49&gt;0,Q22*(1+R51/100),0)-Q22*(1+'Input data'!R30/100),IF(R49=1,R26,Q22*(1+R51/100)))</f>
        <v>1446.6999436626984</v>
      </c>
      <c r="S22" s="34">
        <f>IF(AND(S49&gt;1,R49&gt;1),IF(AND(S49&gt;0,R49&gt;0),S26*(S50/100+1),0)+IF(S49&gt;0,R22*(1+S51/100),0)-R22*(1+'Input data'!S30/100),IF(S49=1,S26,R22*(1+S51/100)))</f>
        <v>1466.1912741356682</v>
      </c>
      <c r="T22" s="34">
        <f>IF(AND(T49&gt;1,S49&gt;1),IF(AND(T49&gt;0,S49&gt;0),T26*(T50/100+1),0)+IF(T49&gt;0,S22*(1+T51/100),0)-S22*(1+'Input data'!T30/100),IF(T49=1,T26,S22*(1+T51/100)))</f>
        <v>1487.1700373910344</v>
      </c>
      <c r="U22" s="34">
        <f>IF(AND(U49&gt;1,T49&gt;1),IF(AND(U49&gt;0,T49&gt;0),U26*(U50/100+1),0)+IF(U49&gt;0,T22*(1+U51/100),0)-T22*(1+'Input data'!U30/100),IF(U49=1,U26,T22*(1+U51/100)))</f>
        <v>1509.8889094408416</v>
      </c>
      <c r="V22" s="34">
        <f>IF(AND(V49&gt;1,U49&gt;1),IF(AND(V49&gt;0,U49&gt;0),V26*(V50/100+1),0)+IF(V49&gt;0,U22*(1+V51/100),0)-U22*(1+'Input data'!V30/100),IF(V49=1,V26,U22*(1+V51/100)))</f>
        <v>1534.6773596226956</v>
      </c>
      <c r="W22" s="34">
        <f>IF(AND(W49&gt;1,V49&gt;1),IF(AND(W49&gt;0,V49&gt;0),W26*(W50/100+1),0)+IF(W49&gt;0,V22*(1+W51/100),0)-V22*(1+'Input data'!W30/100),IF(W49=1,W26,V22*(1+W51/100)))</f>
        <v>1558.6693084146964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6.4031729999999998</v>
      </c>
      <c r="D23" s="100">
        <f t="shared" ref="D23:T23" si="0">100*(D22/C22-1)</f>
        <v>5.7706480000000004</v>
      </c>
      <c r="E23" s="100">
        <f t="shared" si="0"/>
        <v>2.5032940000000004</v>
      </c>
      <c r="F23" s="100">
        <f t="shared" si="0"/>
        <v>2.1447170000000071</v>
      </c>
      <c r="G23" s="34">
        <f t="shared" si="0"/>
        <v>1.3821190000000039</v>
      </c>
      <c r="H23" s="34">
        <f t="shared" si="0"/>
        <v>0.84440220190526993</v>
      </c>
      <c r="I23" s="34">
        <f t="shared" si="0"/>
        <v>0.92296823296240671</v>
      </c>
      <c r="J23" s="34">
        <f t="shared" si="0"/>
        <v>1.062998371462176</v>
      </c>
      <c r="K23" s="34">
        <f t="shared" si="0"/>
        <v>1.950253849518635</v>
      </c>
      <c r="L23" s="34">
        <f t="shared" si="0"/>
        <v>1.6737705599141117</v>
      </c>
      <c r="M23" s="34">
        <f t="shared" si="0"/>
        <v>1.266743951478766</v>
      </c>
      <c r="N23" s="34">
        <f>100*(N22/M22-1)</f>
        <v>1.1765005754596825</v>
      </c>
      <c r="O23" s="34">
        <f t="shared" si="0"/>
        <v>1.1178788637765891</v>
      </c>
      <c r="P23" s="34">
        <f t="shared" si="0"/>
        <v>1.0831150000000012</v>
      </c>
      <c r="Q23" s="34">
        <f t="shared" si="0"/>
        <v>1.129708000000007</v>
      </c>
      <c r="R23" s="34">
        <f t="shared" si="0"/>
        <v>1.1763020000000068</v>
      </c>
      <c r="S23" s="34">
        <f t="shared" si="0"/>
        <v>1.3472960000000089</v>
      </c>
      <c r="T23" s="34">
        <f t="shared" si="0"/>
        <v>1.4308339999999919</v>
      </c>
      <c r="U23" s="34">
        <f t="shared" ref="U23" si="1">100*(U22/T22-1)</f>
        <v>1.5276580000000095</v>
      </c>
      <c r="V23" s="34">
        <f t="shared" ref="V23" si="2">100*(V22/U22-1)</f>
        <v>1.6417399999999915</v>
      </c>
      <c r="W23" s="34">
        <f t="shared" ref="W23" si="3">100*(W22/V22-1)</f>
        <v>1.5633220000000003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1173.0429999999999</v>
      </c>
      <c r="D26" s="100">
        <f>+C26*(1+'Input data'!D33/100)</f>
        <v>1191.1868783764799</v>
      </c>
      <c r="E26" s="100">
        <f>+D26*(1+'Input data'!E33/100)</f>
        <v>1213.5621207880349</v>
      </c>
      <c r="F26" s="100">
        <f>+E26*(1+'Input data'!F33/100)</f>
        <v>1236.8449775345198</v>
      </c>
      <c r="G26" s="34">
        <f>+F26*(1+'Input data'!G33/100)</f>
        <v>1261.8457332242676</v>
      </c>
      <c r="H26" s="34">
        <f>+G26*(1+'Input data'!H33/100)</f>
        <v>1282.1430265814731</v>
      </c>
      <c r="I26" s="34">
        <f>+H26*(1+'Input data'!I33/100)</f>
        <v>1300.4982374357346</v>
      </c>
      <c r="J26" s="34">
        <f>+I26*(1+'Input data'!J33/100)</f>
        <v>1318.7135489535367</v>
      </c>
      <c r="K26" s="34">
        <f>+J26*(1+'Input data'!K33/100)</f>
        <v>1336.4066099556267</v>
      </c>
      <c r="L26" s="34">
        <f>+K26*(1+'Input data'!L33/100)</f>
        <v>1353.3725457862693</v>
      </c>
      <c r="M26" s="34">
        <f>+L26*(1+'Input data'!M33/100)</f>
        <v>1369.4118645742244</v>
      </c>
      <c r="N26" s="34">
        <f>+M26*(1+'Input data'!N33/100)</f>
        <v>1384.4073627031089</v>
      </c>
      <c r="O26" s="34">
        <f>+N26*(1+'Input data'!O33/100)</f>
        <v>1398.7570634312199</v>
      </c>
      <c r="P26" s="34">
        <f>+O26*(1+'Input data'!P33/100)</f>
        <v>1413.9072249863734</v>
      </c>
      <c r="Q26" s="34">
        <f>+P26*(1+'Input data'!Q33/100)</f>
        <v>1429.8802480196225</v>
      </c>
      <c r="R26" s="34">
        <f>+Q26*(1+'Input data'!R33/100)</f>
        <v>1446.6999436758797</v>
      </c>
      <c r="S26" s="34">
        <f>+R26*(1+'Input data'!S33/100)</f>
        <v>1466.1912596820275</v>
      </c>
      <c r="T26" s="34">
        <f>+S26*(1+'Input data'!T33/100)</f>
        <v>1487.1700520544116</v>
      </c>
      <c r="U26" s="34">
        <f>+T26*(1+'Input data'!U33/100)</f>
        <v>1509.8888797131235</v>
      </c>
      <c r="V26" s="34">
        <f>+U26*(1+'Input data'!V33/100)</f>
        <v>1534.677314308037</v>
      </c>
      <c r="W26" s="34">
        <f>+V26*(1+'Input data'!W33/100)</f>
        <v>1558.6693237787163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-3.851521214482323</v>
      </c>
      <c r="D29" s="100">
        <f t="shared" si="4"/>
        <v>0.14784626222212882</v>
      </c>
      <c r="E29" s="100">
        <f t="shared" si="4"/>
        <v>0.76212651205243009</v>
      </c>
      <c r="F29" s="100">
        <f t="shared" si="4"/>
        <v>0.9857223436085194</v>
      </c>
      <c r="G29" s="34">
        <f t="shared" si="4"/>
        <v>0.35299695545711884</v>
      </c>
      <c r="H29" s="34">
        <f t="shared" si="4"/>
        <v>-0.40169864518577736</v>
      </c>
      <c r="I29" s="34">
        <f t="shared" si="4"/>
        <v>-0.90114118979196522</v>
      </c>
      <c r="J29" s="34">
        <f t="shared" si="4"/>
        <v>-1.2311193718211766</v>
      </c>
      <c r="K29" s="34">
        <f t="shared" si="4"/>
        <v>-0.63800640078488513</v>
      </c>
      <c r="L29" s="34">
        <f t="shared" si="4"/>
        <v>-0.24136937411295412</v>
      </c>
      <c r="M29" s="34">
        <f t="shared" si="4"/>
        <v>-0.16091291607530644</v>
      </c>
      <c r="N29" s="34">
        <f t="shared" si="4"/>
        <v>-8.0456458037658773E-2</v>
      </c>
      <c r="O29" s="34">
        <f t="shared" si="4"/>
        <v>0</v>
      </c>
      <c r="P29" s="34">
        <f t="shared" si="4"/>
        <v>-9.8928489844496426E-7</v>
      </c>
      <c r="Q29" s="34">
        <f t="shared" si="4"/>
        <v>-9.8928488734273401E-7</v>
      </c>
      <c r="R29" s="34">
        <f t="shared" si="4"/>
        <v>-9.1112672961912722E-10</v>
      </c>
      <c r="S29" s="34">
        <f t="shared" si="4"/>
        <v>9.8579504559381803E-7</v>
      </c>
      <c r="T29" s="34">
        <f t="shared" si="4"/>
        <v>-9.859919658516958E-7</v>
      </c>
      <c r="U29" s="34">
        <f t="shared" ref="U29:W29" si="5">100*(U22/U26-1)</f>
        <v>1.9688679353535576E-6</v>
      </c>
      <c r="V29" s="34">
        <f t="shared" si="5"/>
        <v>2.9527157385800251E-6</v>
      </c>
      <c r="W29" s="34">
        <f t="shared" si="5"/>
        <v>-9.8571387718848769E-7</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9.2295881492239893</v>
      </c>
      <c r="D32" s="2">
        <f t="shared" si="6"/>
        <v>10.152003533114161</v>
      </c>
      <c r="E32" s="2">
        <f t="shared" si="6"/>
        <v>8.5794699112708308</v>
      </c>
      <c r="F32" s="2">
        <f t="shared" si="6"/>
        <v>5.4673252982514908</v>
      </c>
      <c r="G32" s="1">
        <f t="shared" si="6"/>
        <v>3.7567984562641543</v>
      </c>
      <c r="H32" s="1">
        <f t="shared" si="6"/>
        <v>3.2326676569332857</v>
      </c>
      <c r="I32" s="1">
        <f t="shared" si="6"/>
        <v>3.3392957106716192</v>
      </c>
      <c r="J32" s="1">
        <f t="shared" si="6"/>
        <v>3.5089162150359288</v>
      </c>
      <c r="K32" s="1">
        <f t="shared" si="6"/>
        <v>4.4441130425662445</v>
      </c>
      <c r="L32" s="1">
        <f t="shared" si="6"/>
        <v>4.1872628388069044</v>
      </c>
      <c r="M32" s="1">
        <f t="shared" si="6"/>
        <v>3.7964646844458327</v>
      </c>
      <c r="N32" s="1">
        <f t="shared" si="6"/>
        <v>3.7302341499957592</v>
      </c>
      <c r="O32" s="1">
        <f t="shared" si="6"/>
        <v>3.6963847748028966</v>
      </c>
      <c r="P32" s="1">
        <f t="shared" si="6"/>
        <v>3.632936575875001</v>
      </c>
      <c r="Q32" s="1">
        <f t="shared" si="6"/>
        <v>3.6528942145999999</v>
      </c>
      <c r="R32" s="1">
        <f t="shared" si="6"/>
        <v>3.6728272518500082</v>
      </c>
      <c r="S32" s="1">
        <f t="shared" si="6"/>
        <v>3.8201700224000046</v>
      </c>
      <c r="T32" s="1">
        <f t="shared" si="6"/>
        <v>3.8778528702499759</v>
      </c>
      <c r="U32" s="1">
        <f t="shared" si="6"/>
        <v>3.9490926433000118</v>
      </c>
      <c r="V32" s="1">
        <f t="shared" si="6"/>
        <v>4.0379440204999728</v>
      </c>
      <c r="W32" s="1">
        <f t="shared" si="6"/>
        <v>3.9297474026000145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1.94496</v>
      </c>
      <c r="D35" s="100">
        <f>'Input data'!D37</f>
        <v>2.2273139999999998</v>
      </c>
      <c r="E35" s="100">
        <f>'Input data'!E37</f>
        <v>2.3933339999999999</v>
      </c>
      <c r="F35" s="100">
        <f>'Input data'!F37</f>
        <v>2.4819740000000001</v>
      </c>
      <c r="G35" s="100">
        <f>'Input data'!G37</f>
        <v>2.5283959999999999</v>
      </c>
      <c r="H35" s="34">
        <f t="shared" ref="H35:W35" si="7">H92</f>
        <v>2.636124678758041</v>
      </c>
      <c r="I35" s="34">
        <f t="shared" si="7"/>
        <v>2.7338648014854905</v>
      </c>
      <c r="J35" s="34">
        <f t="shared" si="7"/>
        <v>2.8287631783892078</v>
      </c>
      <c r="K35" s="34">
        <f t="shared" si="7"/>
        <v>2.9198416139539645</v>
      </c>
      <c r="L35" s="34">
        <f t="shared" si="7"/>
        <v>3.0130674046966206</v>
      </c>
      <c r="M35" s="34">
        <f t="shared" si="7"/>
        <v>3.1098410188699481</v>
      </c>
      <c r="N35" s="34">
        <f t="shared" si="7"/>
        <v>3.2099090575644502</v>
      </c>
      <c r="O35" s="34">
        <f t="shared" si="7"/>
        <v>3.3133994499769703</v>
      </c>
      <c r="P35" s="34">
        <f t="shared" si="7"/>
        <v>3.4055138098213984</v>
      </c>
      <c r="Q35" s="34">
        <f t="shared" si="7"/>
        <v>3.4884140905828289</v>
      </c>
      <c r="R35" s="34">
        <f t="shared" si="7"/>
        <v>3.5623557803753587</v>
      </c>
      <c r="S35" s="34">
        <f t="shared" si="7"/>
        <v>3.6276685960934381</v>
      </c>
      <c r="T35" s="34">
        <f t="shared" si="7"/>
        <v>3.684779096910058</v>
      </c>
      <c r="U35" s="34">
        <f t="shared" si="7"/>
        <v>3.7342162336695228</v>
      </c>
      <c r="V35" s="34">
        <f t="shared" si="7"/>
        <v>3.7765237631651356</v>
      </c>
      <c r="W35" s="34">
        <f t="shared" si="7"/>
        <v>3.812190356191667</v>
      </c>
    </row>
    <row r="36" spans="2:51" x14ac:dyDescent="0.2">
      <c r="B36" s="32" t="s">
        <v>94</v>
      </c>
      <c r="C36" s="1"/>
      <c r="D36" s="2">
        <f>'Input data'!D$39</f>
        <v>2.1800000000000002</v>
      </c>
      <c r="E36" s="2">
        <f>'Input data'!E$39</f>
        <v>3.48</v>
      </c>
      <c r="F36" s="166">
        <f>'Input data'!F$39</f>
        <v>3.2930959999999998</v>
      </c>
      <c r="G36" s="166">
        <f>'Input data'!G$39</f>
        <v>3.4118309999999998</v>
      </c>
      <c r="H36" s="1">
        <f>G36+($O$36-$G$36)/($O$10-$G$10)</f>
        <v>3.5264958749999997</v>
      </c>
      <c r="I36" s="1">
        <f t="shared" ref="I36:M36" si="8">H36+($O$36-$G$36)/($O$10-$G$10)</f>
        <v>3.6411607499999996</v>
      </c>
      <c r="J36" s="1">
        <f t="shared" si="8"/>
        <v>3.7558256249999995</v>
      </c>
      <c r="K36" s="1">
        <f t="shared" si="8"/>
        <v>3.8704904999999994</v>
      </c>
      <c r="L36" s="1">
        <f t="shared" si="8"/>
        <v>3.9851553749999993</v>
      </c>
      <c r="M36" s="1">
        <f t="shared" si="8"/>
        <v>4.0998202499999996</v>
      </c>
      <c r="N36" s="1">
        <f>M36+($O$36-$G$36)/($O$10-$G$10)</f>
        <v>4.2144851249999995</v>
      </c>
      <c r="O36" s="252">
        <f>'Input data'!$C$52</f>
        <v>4.3291500000000003</v>
      </c>
      <c r="P36" s="1">
        <f>'Baseline NFPC'!P36</f>
        <v>4.3126925000000007</v>
      </c>
      <c r="Q36" s="1">
        <f>'Baseline NFPC'!Q36</f>
        <v>4.2962350000000002</v>
      </c>
      <c r="R36" s="1">
        <f>'Baseline NFPC'!R36</f>
        <v>4.2797774999999998</v>
      </c>
      <c r="S36" s="1">
        <f>'Baseline NFPC'!S36</f>
        <v>4.2633200000000002</v>
      </c>
      <c r="T36" s="1">
        <f>'Baseline NFPC'!T36</f>
        <v>4.2468625000000007</v>
      </c>
      <c r="U36" s="1">
        <f>'Baseline NFPC'!U36</f>
        <v>4.2304050000000002</v>
      </c>
      <c r="V36" s="1">
        <f>'Baseline NFPC'!V36</f>
        <v>4.2139474999999997</v>
      </c>
      <c r="W36" s="1">
        <f>'Baseline NFPC'!W36</f>
        <v>4.1974900000000002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9.2594570000000001E-2</v>
      </c>
      <c r="D38" s="34">
        <f>'Baseline NFPC'!D38</f>
        <v>6.7370540000000007E-2</v>
      </c>
      <c r="E38" s="34">
        <f>'Baseline NFPC'!E38</f>
        <v>9.4524629999999998E-2</v>
      </c>
      <c r="F38" s="34">
        <f>'Baseline NFPC'!F38</f>
        <v>8.5181549999999995E-2</v>
      </c>
      <c r="G38" s="34">
        <f>'Baseline NFPC'!G38</f>
        <v>8.5454706666666658E-2</v>
      </c>
      <c r="H38" s="34">
        <f>'Baseline NFPC'!H38</f>
        <v>8.5727863333333335E-2</v>
      </c>
      <c r="I38" s="34">
        <f>'Baseline NFPC'!I38</f>
        <v>8.6001019999999997E-2</v>
      </c>
      <c r="J38" s="34">
        <f>'Baseline NFPC'!J38</f>
        <v>8.627417666666666E-2</v>
      </c>
      <c r="K38" s="34">
        <f>'Baseline NFPC'!K38</f>
        <v>8.6547333333333337E-2</v>
      </c>
      <c r="L38" s="34">
        <f>'Baseline NFPC'!L38</f>
        <v>8.682049E-2</v>
      </c>
      <c r="M38" s="34">
        <f>'Baseline NFPC'!M38</f>
        <v>8.7093646666666663E-2</v>
      </c>
      <c r="N38" s="34">
        <f>'Baseline NFPC'!N38</f>
        <v>8.736680333333334E-2</v>
      </c>
      <c r="O38" s="34">
        <f>'Baseline NFPC'!O38</f>
        <v>8.7639960000000003E-2</v>
      </c>
      <c r="P38" s="34">
        <f>'Baseline NFPC'!P38</f>
        <v>8.7639960000000003E-2</v>
      </c>
      <c r="Q38" s="34">
        <f>'Baseline NFPC'!Q38</f>
        <v>8.7639960000000003E-2</v>
      </c>
      <c r="R38" s="34">
        <f>'Baseline NFPC'!R38</f>
        <v>8.7639960000000003E-2</v>
      </c>
      <c r="S38" s="34">
        <f>'Baseline NFPC'!S38</f>
        <v>8.7639960000000003E-2</v>
      </c>
      <c r="T38" s="34">
        <f>'Baseline NFPC'!T38</f>
        <v>8.7639960000000003E-2</v>
      </c>
      <c r="U38" s="34">
        <f>'Baseline NFPC'!U38</f>
        <v>8.7639960000000003E-2</v>
      </c>
      <c r="V38" s="34">
        <f>'Baseline NFPC'!V38</f>
        <v>8.7639960000000003E-2</v>
      </c>
      <c r="W38" s="34">
        <f>'Baseline NFPC'!W38</f>
        <v>8.7639960000000003E-2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2.656326</v>
      </c>
      <c r="D41" s="2">
        <f>'Input data'!D42</f>
        <v>4.1423170000000002</v>
      </c>
      <c r="E41" s="2">
        <f>'Input data'!E42</f>
        <v>5.9277860000000002</v>
      </c>
      <c r="F41" s="2">
        <f>'Input data'!F42</f>
        <v>3.2528440000000001</v>
      </c>
      <c r="G41" s="2">
        <f>'Input data'!G42</f>
        <v>2.3423060000000002</v>
      </c>
      <c r="H41" s="1">
        <f>'Baseline NFPC'!H41</f>
        <v>2.3682677500000002</v>
      </c>
      <c r="I41" s="1">
        <f>'Baseline NFPC'!I41</f>
        <v>2.3942295000000002</v>
      </c>
      <c r="J41" s="1">
        <f>'Baseline NFPC'!J41</f>
        <v>2.4201912500000002</v>
      </c>
      <c r="K41" s="1">
        <f>'Baseline NFPC'!K41</f>
        <v>2.4461529999999998</v>
      </c>
      <c r="L41" s="1">
        <f>'Baseline NFPC'!L41</f>
        <v>2.4721147499999998</v>
      </c>
      <c r="M41" s="1">
        <f>'Baseline NFPC'!M41</f>
        <v>2.4980764999999998</v>
      </c>
      <c r="N41" s="1">
        <f>'Baseline NFPC'!N41</f>
        <v>2.5240382499999998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0.99997000000000003</v>
      </c>
      <c r="D42" s="1">
        <f>'Baseline NFPC'!D42</f>
        <v>0.99999990000000005</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0.59699999999999998</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0.23533130363807922</v>
      </c>
      <c r="I50" s="34">
        <f t="shared" si="10"/>
        <v>-0.26779909679051822</v>
      </c>
      <c r="J50" s="34">
        <f t="shared" si="10"/>
        <v>-0.60076079319464348</v>
      </c>
      <c r="K50" s="34">
        <f t="shared" si="10"/>
        <v>-0.82074624788078432</v>
      </c>
      <c r="L50" s="34">
        <f t="shared" si="10"/>
        <v>-0.42533760052325675</v>
      </c>
      <c r="M50" s="34">
        <f t="shared" si="10"/>
        <v>-0.16091291607530273</v>
      </c>
      <c r="N50" s="34">
        <f t="shared" si="10"/>
        <v>-8.0456458037651363E-2</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5.7706480000000004</v>
      </c>
      <c r="E51" s="34">
        <f>'Input data'!E30-$C$46*((E12-D12)-('Input data'!E13-'Input data'!D13))</f>
        <v>2.5032939999999999</v>
      </c>
      <c r="F51" s="34">
        <f>'Input data'!F30-$C$46*((F12-E12)-('Input data'!F13-'Input data'!E13))</f>
        <v>2.144717</v>
      </c>
      <c r="G51" s="34">
        <f>'Input data'!G30-$C$46*((G12-F12))</f>
        <v>1.3821189999999999</v>
      </c>
      <c r="H51" s="34">
        <f>'Input data'!H30-$C$46*((H12-G12))</f>
        <v>0.63103500000000001</v>
      </c>
      <c r="I51" s="34">
        <f>'Input data'!I30-$C$46*((I12-H12))</f>
        <v>0.34257760000000004</v>
      </c>
      <c r="J51" s="34">
        <f>'Input data'!J30-$C$46*((J12-I12))</f>
        <v>0.53271100000000005</v>
      </c>
      <c r="K51" s="34">
        <f>'Input data'!K30-$C$46*((K12-J12))</f>
        <v>1.5291950000000001</v>
      </c>
      <c r="L51" s="34">
        <f>'Input data'!L30-$C$46*((L12-K12))</f>
        <v>1.45702</v>
      </c>
      <c r="M51" s="34">
        <f>'Input data'!M30-$C$46*((M12-L12))</f>
        <v>1.185136</v>
      </c>
      <c r="N51" s="34">
        <f>'Input data'!N30-$C$46*((N12-M12))</f>
        <v>1.0950310000000001</v>
      </c>
      <c r="O51" s="34">
        <f>'Input data'!O30-$C$46*((O12-N12))</f>
        <v>1.0365249999999999</v>
      </c>
      <c r="P51" s="34">
        <f>'Input data'!P30-$C$46*((P12-O12))</f>
        <v>1.083115</v>
      </c>
      <c r="Q51" s="34">
        <f>'Input data'!Q30-$C$46*((Q12-P12))</f>
        <v>1.1297079999999999</v>
      </c>
      <c r="R51" s="34">
        <f>'Input data'!R30-$C$46*((R12-Q12))</f>
        <v>1.176302</v>
      </c>
      <c r="S51" s="34">
        <f>'Input data'!S30-$C$46*((S12-R12))</f>
        <v>1.347296</v>
      </c>
      <c r="T51" s="34">
        <f>'Input data'!T30-$C$46*((T12-S12))</f>
        <v>1.4308339999999999</v>
      </c>
      <c r="U51" s="34">
        <f>'Input data'!U30-$C$46*((U12-T12))</f>
        <v>1.527658</v>
      </c>
      <c r="V51" s="34">
        <f>'Input data'!V30-$C$46*((V12-U12))</f>
        <v>1.64174</v>
      </c>
      <c r="W51" s="34">
        <f>'Input data'!W30-$C$46*((W12-V12))</f>
        <v>1.5633220000000001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116.8408</v>
      </c>
      <c r="D56" s="45">
        <f t="shared" ref="D56:T56" si="11">+C56+D57</f>
        <v>111.62002928145338</v>
      </c>
      <c r="E56" s="45">
        <f t="shared" si="11"/>
        <v>107.65412775375809</v>
      </c>
      <c r="F56" s="45">
        <f t="shared" si="11"/>
        <v>105.50997791462379</v>
      </c>
      <c r="G56" s="45">
        <f t="shared" si="11"/>
        <v>104.97907714628215</v>
      </c>
      <c r="H56" s="45">
        <f t="shared" si="11"/>
        <v>103.74121471198742</v>
      </c>
      <c r="I56" s="45">
        <f t="shared" si="11"/>
        <v>101.9403686820099</v>
      </c>
      <c r="J56" s="45">
        <f t="shared" si="11"/>
        <v>99.414459074779955</v>
      </c>
      <c r="K56" s="45">
        <f t="shared" si="11"/>
        <v>96.130551813696343</v>
      </c>
      <c r="L56" s="45">
        <f t="shared" si="11"/>
        <v>93.393586914431822</v>
      </c>
      <c r="M56" s="45">
        <f t="shared" si="11"/>
        <v>91.2850804036201</v>
      </c>
      <c r="N56" s="45">
        <f t="shared" si="11"/>
        <v>89.527283216041667</v>
      </c>
      <c r="O56" s="46">
        <f t="shared" si="11"/>
        <v>88.090150507725937</v>
      </c>
      <c r="P56" s="46">
        <f t="shared" si="11"/>
        <v>87.024441019306693</v>
      </c>
      <c r="Q56" s="46">
        <f t="shared" si="11"/>
        <v>86.23304471083442</v>
      </c>
      <c r="R56" s="46">
        <f t="shared" si="11"/>
        <v>85.690015986411098</v>
      </c>
      <c r="S56" s="46">
        <f t="shared" si="11"/>
        <v>85.268732465646835</v>
      </c>
      <c r="T56" s="46">
        <f t="shared" si="11"/>
        <v>85.033011837933913</v>
      </c>
      <c r="U56" s="46">
        <f t="shared" ref="U56" si="12">+T56+U57</f>
        <v>84.962383373160719</v>
      </c>
      <c r="V56" s="46">
        <f t="shared" ref="V56" si="13">+U56+V57</f>
        <v>85.016023068858786</v>
      </c>
      <c r="W56" s="46">
        <f t="shared" ref="W56" si="14">+V56+W57</f>
        <v>85.382122708345364</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-5.2207707185466106</v>
      </c>
      <c r="E57" s="47">
        <f t="shared" si="15"/>
        <v>-3.9659015276953009</v>
      </c>
      <c r="F57" s="47">
        <f t="shared" si="15"/>
        <v>-2.1441498391342932</v>
      </c>
      <c r="G57" s="47">
        <f t="shared" si="15"/>
        <v>-0.53090076834164102</v>
      </c>
      <c r="H57" s="47">
        <f t="shared" si="15"/>
        <v>-1.2378624342947238</v>
      </c>
      <c r="I57" s="47">
        <f t="shared" si="15"/>
        <v>-1.8008460299775191</v>
      </c>
      <c r="J57" s="47">
        <f t="shared" si="15"/>
        <v>-2.5259096072299529</v>
      </c>
      <c r="K57" s="47">
        <f t="shared" si="15"/>
        <v>-3.2839072610836144</v>
      </c>
      <c r="L57" s="47">
        <f t="shared" si="15"/>
        <v>-2.7369648992645188</v>
      </c>
      <c r="M57" s="47">
        <f t="shared" si="15"/>
        <v>-2.1085065108117202</v>
      </c>
      <c r="N57" s="47">
        <f t="shared" si="15"/>
        <v>-1.7577971875784331</v>
      </c>
      <c r="O57" s="47">
        <f t="shared" si="15"/>
        <v>-1.4371327083157306</v>
      </c>
      <c r="P57" s="47">
        <f t="shared" si="15"/>
        <v>-1.0657094884192486</v>
      </c>
      <c r="Q57" s="47">
        <f t="shared" si="15"/>
        <v>-0.79139630847227149</v>
      </c>
      <c r="R57" s="47">
        <f t="shared" si="15"/>
        <v>-0.54302872442331895</v>
      </c>
      <c r="S57" s="47">
        <f t="shared" si="15"/>
        <v>-0.42128352076425946</v>
      </c>
      <c r="T57" s="47">
        <f t="shared" si="15"/>
        <v>-0.23572062771292923</v>
      </c>
      <c r="U57" s="47">
        <f t="shared" ref="U57:W57" si="16">-U58+U66+U71</f>
        <v>-7.0628464773190069E-2</v>
      </c>
      <c r="V57" s="47">
        <f t="shared" si="16"/>
        <v>5.3639695698065815E-2</v>
      </c>
      <c r="W57" s="47">
        <f t="shared" si="16"/>
        <v>0.3660996394865822</v>
      </c>
    </row>
    <row r="58" spans="2:48" outlineLevel="1" x14ac:dyDescent="0.2">
      <c r="B58" s="84" t="s">
        <v>106</v>
      </c>
      <c r="C58" s="48"/>
      <c r="D58" s="48">
        <f t="shared" ref="D58:T58" si="17">D59+D60-D61-D62-D63-D64-D65</f>
        <v>-2.3733228814533889</v>
      </c>
      <c r="E58" s="48">
        <f t="shared" si="17"/>
        <v>-1.1758664723046994</v>
      </c>
      <c r="F58" s="48">
        <f t="shared" si="17"/>
        <v>-0.448572060865714</v>
      </c>
      <c r="G58" s="48">
        <f t="shared" si="17"/>
        <v>0.22178088240789987</v>
      </c>
      <c r="H58" s="48">
        <f t="shared" si="17"/>
        <v>0.6312276088240909</v>
      </c>
      <c r="I58" s="48">
        <f t="shared" si="17"/>
        <v>1.1930604096941968</v>
      </c>
      <c r="J58" s="48">
        <f t="shared" si="17"/>
        <v>1.8560634350227576</v>
      </c>
      <c r="K58" s="48">
        <f t="shared" si="17"/>
        <v>1.8330392787314209</v>
      </c>
      <c r="L58" s="48">
        <f t="shared" si="17"/>
        <v>1.6535689836545617</v>
      </c>
      <c r="M58" s="48">
        <f t="shared" si="17"/>
        <v>1.4906988891030382</v>
      </c>
      <c r="N58" s="48">
        <f t="shared" si="17"/>
        <v>1.299898694551513</v>
      </c>
      <c r="O58" s="48">
        <f t="shared" si="17"/>
        <v>1.1064785999999942</v>
      </c>
      <c r="P58" s="48">
        <f t="shared" si="17"/>
        <v>0.87239540939691407</v>
      </c>
      <c r="Q58" s="48">
        <f t="shared" si="17"/>
        <v>0.6533028093969222</v>
      </c>
      <c r="R58" s="48">
        <f t="shared" si="17"/>
        <v>0.45114069945605362</v>
      </c>
      <c r="S58" s="48">
        <f t="shared" si="17"/>
        <v>0.26239868851963866</v>
      </c>
      <c r="T58" s="48">
        <f t="shared" si="17"/>
        <v>7.723491136279248E-2</v>
      </c>
      <c r="U58" s="48">
        <f t="shared" ref="U58:W58" si="18">U59+U60-U61-U62-U63-U64-U65</f>
        <v>-0.10514592458584571</v>
      </c>
      <c r="V58" s="48">
        <f t="shared" si="18"/>
        <v>-0.2671280372287077</v>
      </c>
      <c r="W58" s="48">
        <f t="shared" si="18"/>
        <v>-0.46226298847118452</v>
      </c>
    </row>
    <row r="59" spans="2:48" outlineLevel="1" x14ac:dyDescent="0.2">
      <c r="B59" s="79" t="s">
        <v>107</v>
      </c>
      <c r="C59" s="1"/>
      <c r="D59" s="1">
        <f>D12</f>
        <v>-2.3947409999999998</v>
      </c>
      <c r="E59" s="1">
        <f>E12</f>
        <v>-1.6308560000000001</v>
      </c>
      <c r="F59" s="1">
        <f>F12</f>
        <v>-0.84895830000000005</v>
      </c>
      <c r="G59" s="1">
        <f t="shared" ref="G59:W59" si="19">IF(G12="",F59,G12)</f>
        <v>1.1041699999999932E-2</v>
      </c>
      <c r="H59" s="1">
        <f t="shared" si="19"/>
        <v>0.87104169999999992</v>
      </c>
      <c r="I59" s="1">
        <f t="shared" si="19"/>
        <v>1.7310417</v>
      </c>
      <c r="J59" s="1">
        <f t="shared" si="19"/>
        <v>2.5910416999999999</v>
      </c>
      <c r="K59" s="1">
        <f t="shared" si="19"/>
        <v>2.3410416999999999</v>
      </c>
      <c r="L59" s="1">
        <f t="shared" si="19"/>
        <v>2.0910416999999999</v>
      </c>
      <c r="M59" s="1">
        <f t="shared" si="19"/>
        <v>2.0910416999999999</v>
      </c>
      <c r="N59" s="1">
        <f t="shared" si="19"/>
        <v>2.0910416999999999</v>
      </c>
      <c r="O59" s="1">
        <f t="shared" si="19"/>
        <v>2.0910416999999999</v>
      </c>
      <c r="P59" s="1">
        <f t="shared" si="19"/>
        <v>2.0910416999999999</v>
      </c>
      <c r="Q59" s="1">
        <f t="shared" si="19"/>
        <v>2.0910416999999999</v>
      </c>
      <c r="R59" s="1">
        <f t="shared" si="19"/>
        <v>2.0910416999999999</v>
      </c>
      <c r="S59" s="1">
        <f t="shared" si="19"/>
        <v>2.0910416999999999</v>
      </c>
      <c r="T59" s="1">
        <f t="shared" si="19"/>
        <v>2.0910416999999999</v>
      </c>
      <c r="U59" s="1">
        <f t="shared" si="19"/>
        <v>2.0910416999999999</v>
      </c>
      <c r="V59" s="1">
        <f t="shared" si="19"/>
        <v>2.0910416999999999</v>
      </c>
      <c r="W59" s="1">
        <f t="shared" si="19"/>
        <v>2.0910416999999999</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-8.8264218546610901E-2</v>
      </c>
      <c r="E61" s="1">
        <f t="shared" si="20"/>
        <v>-0.45498952769530077</v>
      </c>
      <c r="F61" s="1">
        <f t="shared" si="20"/>
        <v>-0.58847623913428604</v>
      </c>
      <c r="G61" s="1">
        <f t="shared" si="20"/>
        <v>-0.21073918240789993</v>
      </c>
      <c r="H61" s="1">
        <f t="shared" si="20"/>
        <v>0.23981409117590907</v>
      </c>
      <c r="I61" s="1">
        <f t="shared" si="20"/>
        <v>0.53798129030580322</v>
      </c>
      <c r="J61" s="1">
        <f t="shared" si="20"/>
        <v>0.73497826497724239</v>
      </c>
      <c r="K61" s="1">
        <f t="shared" si="20"/>
        <v>0.3808898212685764</v>
      </c>
      <c r="L61" s="1">
        <f t="shared" si="20"/>
        <v>0.14409751634543361</v>
      </c>
      <c r="M61" s="1">
        <f t="shared" si="20"/>
        <v>9.6065010896957945E-2</v>
      </c>
      <c r="N61" s="1">
        <f t="shared" si="20"/>
        <v>4.8032505448482289E-2</v>
      </c>
      <c r="O61" s="1">
        <f t="shared" si="20"/>
        <v>0</v>
      </c>
      <c r="P61" s="1">
        <f t="shared" si="20"/>
        <v>5.9060308437164362E-7</v>
      </c>
      <c r="Q61" s="1">
        <f t="shared" si="20"/>
        <v>5.9060307774361218E-7</v>
      </c>
      <c r="R61" s="1">
        <f t="shared" si="20"/>
        <v>5.4394265758261889E-10</v>
      </c>
      <c r="S61" s="1">
        <f t="shared" si="20"/>
        <v>-5.8851964221950939E-7</v>
      </c>
      <c r="T61" s="1">
        <f t="shared" si="20"/>
        <v>5.8863720361346237E-7</v>
      </c>
      <c r="U61" s="1">
        <f t="shared" si="20"/>
        <v>-1.175414157406074E-6</v>
      </c>
      <c r="V61" s="1">
        <f t="shared" si="20"/>
        <v>-1.762771295932275E-6</v>
      </c>
      <c r="W61" s="1">
        <f t="shared" si="20"/>
        <v>5.8847118468152709E-7</v>
      </c>
    </row>
    <row r="62" spans="2:48" outlineLevel="1" x14ac:dyDescent="0.2">
      <c r="B62" s="79" t="s">
        <v>110</v>
      </c>
      <c r="C62" s="1"/>
      <c r="D62" s="1">
        <f t="shared" ref="D62:W62" si="21">-D13</f>
        <v>6.6846100000000006E-2</v>
      </c>
      <c r="E62" s="1">
        <f t="shared" si="21"/>
        <v>0</v>
      </c>
      <c r="F62" s="1">
        <f t="shared" si="21"/>
        <v>0.18809000000000001</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0.12803000000000253</v>
      </c>
      <c r="L63" s="1">
        <f>IF(L$55&lt;=$C$6,0,HLOOKUP(L$55,'Input data'!$C$9:$BB$26,12,FALSE)-HLOOKUP($C$6,'Input data'!$C$9:$BB$26,12,FALSE))</f>
        <v>0.29521000000000441</v>
      </c>
      <c r="M63" s="1">
        <f>IF(M$55&lt;=$C$6,0,HLOOKUP(M$55,'Input data'!$C$9:$BB$26,12,FALSE)-HLOOKUP($C$6,'Input data'!$C$9:$BB$26,12,FALSE))</f>
        <v>0.50703000000000387</v>
      </c>
      <c r="N63" s="1">
        <f>IF(N$55&lt;=$C$6,0,HLOOKUP(N$55,'Input data'!$C$9:$BB$26,12,FALSE)-HLOOKUP($C$6,'Input data'!$C$9:$BB$26,12,FALSE))</f>
        <v>0.74678000000000466</v>
      </c>
      <c r="O63" s="1">
        <f>IF(O$55&lt;=$C$6,0,HLOOKUP(O$55,'Input data'!$C$9:$BB$26,12,FALSE)-HLOOKUP($C$6,'Input data'!$C$9:$BB$26,12,FALSE))</f>
        <v>0.98915000000000575</v>
      </c>
      <c r="P63" s="1">
        <f>IF(P$55&lt;=$C$6,0,HLOOKUP(P$55,'Input data'!$C$9:$BB$26,12,FALSE)-HLOOKUP($C$6,'Input data'!$C$9:$BB$26,12,FALSE))</f>
        <v>1.2241500000000016</v>
      </c>
      <c r="Q63" s="1">
        <f>IF(Q$55&lt;=$C$6,0,HLOOKUP(Q$55,'Input data'!$C$9:$BB$26,12,FALSE)-HLOOKUP($C$6,'Input data'!$C$9:$BB$26,12,FALSE))</f>
        <v>1.4441600000000001</v>
      </c>
      <c r="R63" s="1">
        <f>IF(R$55&lt;=$C$6,0,HLOOKUP(R$55,'Input data'!$C$9:$BB$26,12,FALSE)-HLOOKUP($C$6,'Input data'!$C$9:$BB$26,12,FALSE))</f>
        <v>1.6472400000000036</v>
      </c>
      <c r="S63" s="1">
        <f>IF(S$55&lt;=$C$6,0,HLOOKUP(S$55,'Input data'!$C$9:$BB$26,12,FALSE)-HLOOKUP($C$6,'Input data'!$C$9:$BB$26,12,FALSE))</f>
        <v>1.8369000000000035</v>
      </c>
      <c r="T63" s="1">
        <f>IF(T$55&lt;=$C$6,0,HLOOKUP(T$55,'Input data'!$C$9:$BB$26,12,FALSE)-HLOOKUP($C$6,'Input data'!$C$9:$BB$26,12,FALSE))</f>
        <v>2.022980000000004</v>
      </c>
      <c r="U63" s="1">
        <f>IF(U$55&lt;=$C$6,0,HLOOKUP(U$55,'Input data'!$C$9:$BB$26,12,FALSE)-HLOOKUP($C$6,'Input data'!$C$9:$BB$26,12,FALSE))</f>
        <v>2.2062800000000031</v>
      </c>
      <c r="V63" s="1">
        <f>IF(V$55&lt;=$C$6,0,HLOOKUP(V$55,'Input data'!$C$9:$BB$26,12,FALSE)-HLOOKUP($C$6,'Input data'!$C$9:$BB$26,12,FALSE))</f>
        <v>2.3691800000000036</v>
      </c>
      <c r="W63" s="1">
        <f>IF(W$55&lt;=$C$6,0,HLOOKUP(W$55,'Input data'!$C$9:$BB$26,12,FALSE)-HLOOKUP($C$6,'Input data'!$C$9:$BB$26,12,FALSE))</f>
        <v>2.5652299999999997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-9.1739999999995714E-4</v>
      </c>
      <c r="L64" s="1">
        <f>IF(L$55&lt;=$C$6,0,-HLOOKUP(L$55,'Input data'!$C$9:$BB$26,18,FALSE)+HLOOKUP($C$6,'Input data'!$C$9:$BB$26,18,FALSE))</f>
        <v>-1.8348000000000253E-3</v>
      </c>
      <c r="M64" s="1">
        <f>IF(M$55&lt;=$C$6,0,-HLOOKUP(M$55,'Input data'!$C$9:$BB$26,18,FALSE)+HLOOKUP($C$6,'Input data'!$C$9:$BB$26,18,FALSE))</f>
        <v>-2.7521999999999824E-3</v>
      </c>
      <c r="N64" s="1">
        <f>IF(N$55&lt;=$C$6,0,-HLOOKUP(N$55,'Input data'!$C$9:$BB$26,18,FALSE)+HLOOKUP($C$6,'Input data'!$C$9:$BB$26,18,FALSE))</f>
        <v>-3.6694999999999922E-3</v>
      </c>
      <c r="O64" s="1">
        <f>IF(O$55&lt;=$C$6,0,-HLOOKUP(O$55,'Input data'!$C$9:$BB$26,18,FALSE)+HLOOKUP($C$6,'Input data'!$C$9:$BB$26,18,FALSE))</f>
        <v>-4.5868999999999494E-3</v>
      </c>
      <c r="P64" s="1">
        <f>IF(P$55&lt;=$C$6,0,-HLOOKUP(P$55,'Input data'!$C$9:$BB$26,18,FALSE)+HLOOKUP($C$6,'Input data'!$C$9:$BB$26,18,FALSE))</f>
        <v>-5.5043000000000175E-3</v>
      </c>
      <c r="Q64" s="1">
        <f>IF(Q$55&lt;=$C$6,0,-HLOOKUP(Q$55,'Input data'!$C$9:$BB$26,18,FALSE)+HLOOKUP($C$6,'Input data'!$C$9:$BB$26,18,FALSE))</f>
        <v>-6.4216999999999747E-3</v>
      </c>
      <c r="R64" s="1">
        <f>IF(R$55&lt;=$C$6,0,-HLOOKUP(R$55,'Input data'!$C$9:$BB$26,18,FALSE)+HLOOKUP($C$6,'Input data'!$C$9:$BB$26,18,FALSE))</f>
        <v>-7.3389999999999844E-3</v>
      </c>
      <c r="S64" s="1">
        <f>IF(S$55&lt;=$C$6,0,-HLOOKUP(S$55,'Input data'!$C$9:$BB$26,18,FALSE)+HLOOKUP($C$6,'Input data'!$C$9:$BB$26,18,FALSE))</f>
        <v>-8.2563999999999416E-3</v>
      </c>
      <c r="T64" s="1">
        <f>IF(T$55&lt;=$C$6,0,-HLOOKUP(T$55,'Input data'!$C$9:$BB$26,18,FALSE)+HLOOKUP($C$6,'Input data'!$C$9:$BB$26,18,FALSE))</f>
        <v>-9.1738000000000097E-3</v>
      </c>
      <c r="U64" s="1">
        <f>IF(U$55&lt;=$C$6,0,-HLOOKUP(U$55,'Input data'!$C$9:$BB$26,18,FALSE)+HLOOKUP($C$6,'Input data'!$C$9:$BB$26,18,FALSE))</f>
        <v>-1.0091199999999967E-2</v>
      </c>
      <c r="V64" s="1">
        <f>IF(V$55&lt;=$C$6,0,-HLOOKUP(V$55,'Input data'!$C$9:$BB$26,18,FALSE)+HLOOKUP($C$6,'Input data'!$C$9:$BB$26,18,FALSE))</f>
        <v>-1.1008499999999977E-2</v>
      </c>
      <c r="W64" s="1">
        <f>IF(W$55&lt;=$C$6,0,-HLOOKUP(W$55,'Input data'!$C$9:$BB$26,18,FALSE)+HLOOKUP($C$6,'Input data'!$C$9:$BB$26,18,FALSE))</f>
        <v>-1.1925899999999934E-2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-8.4059019999999993</v>
      </c>
      <c r="E66" s="48">
        <f t="shared" si="22"/>
        <v>-6.3592510000000004</v>
      </c>
      <c r="F66" s="48">
        <f t="shared" si="22"/>
        <v>-3.0471930000000071</v>
      </c>
      <c r="G66" s="48">
        <f t="shared" si="22"/>
        <v>-1.249120885933741</v>
      </c>
      <c r="H66" s="48">
        <f t="shared" si="22"/>
        <v>-0.60663482547063285</v>
      </c>
      <c r="I66" s="48">
        <f t="shared" si="22"/>
        <v>-0.60778562028332228</v>
      </c>
      <c r="J66" s="48">
        <f t="shared" si="22"/>
        <v>-0.66984617220719511</v>
      </c>
      <c r="K66" s="48">
        <f t="shared" si="22"/>
        <v>-1.4508679823521933</v>
      </c>
      <c r="L66" s="48">
        <f t="shared" si="22"/>
        <v>-1.0833959156099571</v>
      </c>
      <c r="M66" s="48">
        <f t="shared" si="22"/>
        <v>-0.61780762170868209</v>
      </c>
      <c r="N66" s="48">
        <f t="shared" si="22"/>
        <v>-0.45789849302692009</v>
      </c>
      <c r="O66" s="48">
        <f t="shared" si="22"/>
        <v>-0.33065410831573638</v>
      </c>
      <c r="P66" s="48">
        <f t="shared" si="22"/>
        <v>-0.19331407902233444</v>
      </c>
      <c r="Q66" s="48">
        <f t="shared" si="22"/>
        <v>-0.13809349907534929</v>
      </c>
      <c r="R66" s="48">
        <f t="shared" si="22"/>
        <v>-9.1888024967265336E-2</v>
      </c>
      <c r="S66" s="48">
        <f t="shared" si="22"/>
        <v>-0.1588848322446208</v>
      </c>
      <c r="T66" s="48">
        <f t="shared" si="22"/>
        <v>-0.15848571635013675</v>
      </c>
      <c r="U66" s="48">
        <f t="shared" ref="U66:W66" si="23">SUM(U67:U70)</f>
        <v>-0.17577438935903578</v>
      </c>
      <c r="V66" s="48">
        <f t="shared" si="23"/>
        <v>-0.21348834153064189</v>
      </c>
      <c r="W66" s="48">
        <f t="shared" si="23"/>
        <v>-9.6163348984602326E-2</v>
      </c>
    </row>
    <row r="67" spans="2:23" outlineLevel="1" x14ac:dyDescent="0.2">
      <c r="B67" s="79" t="s">
        <v>115</v>
      </c>
      <c r="C67" s="34"/>
      <c r="D67" s="34">
        <f>C56*D35/100*(1/(1+D32/100))</f>
        <v>2.3625639231606503</v>
      </c>
      <c r="E67" s="34">
        <f t="shared" ref="E67:W67" si="24">D56*E35/100*(1/(1+E32/100))</f>
        <v>2.4603547187935546</v>
      </c>
      <c r="F67" s="34">
        <f t="shared" si="24"/>
        <v>2.5334362592575936</v>
      </c>
      <c r="G67" s="34">
        <f t="shared" si="24"/>
        <v>2.5711183275558871</v>
      </c>
      <c r="H67" s="34">
        <f t="shared" si="24"/>
        <v>2.680720573241647</v>
      </c>
      <c r="I67" s="34">
        <f t="shared" si="24"/>
        <v>2.7444976609721845</v>
      </c>
      <c r="J67" s="34">
        <f t="shared" si="24"/>
        <v>2.7858968276705949</v>
      </c>
      <c r="K67" s="34">
        <f t="shared" si="24"/>
        <v>2.7792325118119807</v>
      </c>
      <c r="L67" s="34">
        <f t="shared" si="24"/>
        <v>2.780069505362436</v>
      </c>
      <c r="M67" s="34">
        <f t="shared" si="24"/>
        <v>2.7981608850442745</v>
      </c>
      <c r="N67" s="34">
        <f t="shared" si="24"/>
        <v>2.8247965389181693</v>
      </c>
      <c r="O67" s="34">
        <f t="shared" si="24"/>
        <v>2.8606556690493723</v>
      </c>
      <c r="P67" s="34">
        <f t="shared" si="24"/>
        <v>2.8947575353484885</v>
      </c>
      <c r="Q67" s="34">
        <f t="shared" si="24"/>
        <v>2.9287873587815696</v>
      </c>
      <c r="R67" s="34">
        <f t="shared" si="24"/>
        <v>2.9630983684736543</v>
      </c>
      <c r="S67" s="34">
        <f t="shared" si="24"/>
        <v>2.9941675102783867</v>
      </c>
      <c r="T67" s="34">
        <f t="shared" si="24"/>
        <v>3.02467209638885</v>
      </c>
      <c r="U67" s="34">
        <f t="shared" si="24"/>
        <v>3.0546842221377668</v>
      </c>
      <c r="V67" s="34">
        <f t="shared" si="24"/>
        <v>3.0840907402078619</v>
      </c>
      <c r="W67" s="34">
        <f t="shared" si="24"/>
        <v>3.1184263540003929</v>
      </c>
    </row>
    <row r="68" spans="2:23" outlineLevel="1" x14ac:dyDescent="0.2">
      <c r="B68" s="79" t="s">
        <v>116</v>
      </c>
      <c r="C68" s="34"/>
      <c r="D68" s="34">
        <f t="shared" ref="D68:W68" si="25">-C56*(D23/100)*(1/(1+D32/100))</f>
        <v>-6.1210609631417761</v>
      </c>
      <c r="E68" s="34">
        <f t="shared" si="25"/>
        <v>-2.5733939372555579</v>
      </c>
      <c r="F68" s="34">
        <f t="shared" si="25"/>
        <v>-2.1891864353317905</v>
      </c>
      <c r="G68" s="34">
        <f t="shared" si="25"/>
        <v>-1.4054726758637588</v>
      </c>
      <c r="H68" s="34">
        <f t="shared" si="25"/>
        <v>-0.85868713759186022</v>
      </c>
      <c r="I68" s="34">
        <f t="shared" si="25"/>
        <v>-0.9265579465160686</v>
      </c>
      <c r="J68" s="34">
        <f t="shared" si="25"/>
        <v>-1.0468899671416845</v>
      </c>
      <c r="K68" s="34">
        <f t="shared" si="25"/>
        <v>-1.8563366173580806</v>
      </c>
      <c r="L68" s="34">
        <f t="shared" si="25"/>
        <v>-1.5443393285319327</v>
      </c>
      <c r="M68" s="34">
        <f t="shared" si="25"/>
        <v>-1.1397860388639167</v>
      </c>
      <c r="N68" s="34">
        <f t="shared" si="25"/>
        <v>-1.0353485703160039</v>
      </c>
      <c r="O68" s="34">
        <f t="shared" si="25"/>
        <v>-0.96513159890673528</v>
      </c>
      <c r="P68" s="34">
        <f t="shared" si="25"/>
        <v>-0.92067026680576436</v>
      </c>
      <c r="Q68" s="34">
        <f t="shared" si="25"/>
        <v>-0.94847527374871698</v>
      </c>
      <c r="R68" s="34">
        <f t="shared" si="25"/>
        <v>-0.97842516354867182</v>
      </c>
      <c r="S68" s="34">
        <f t="shared" si="25"/>
        <v>-1.1120172096955661</v>
      </c>
      <c r="T68" s="34">
        <f t="shared" si="25"/>
        <v>-1.174508311229181</v>
      </c>
      <c r="U68" s="34">
        <f t="shared" si="25"/>
        <v>-1.2496632485679322</v>
      </c>
      <c r="V68" s="34">
        <f t="shared" si="25"/>
        <v>-1.3407237579739884</v>
      </c>
      <c r="W68" s="34">
        <f t="shared" si="25"/>
        <v>-1.2788198041240457</v>
      </c>
    </row>
    <row r="69" spans="2:23" outlineLevel="1" x14ac:dyDescent="0.2">
      <c r="B69" s="79" t="s">
        <v>117</v>
      </c>
      <c r="C69" s="34"/>
      <c r="D69" s="34">
        <f t="shared" ref="D69:T69" si="26">-C56*D41/100*(1/(1+D41/100))</f>
        <v>-4.6474060312447243</v>
      </c>
      <c r="E69" s="34">
        <f t="shared" si="26"/>
        <v>-6.2463275395389601</v>
      </c>
      <c r="F69" s="34">
        <f t="shared" si="26"/>
        <v>-3.3915006112475261</v>
      </c>
      <c r="G69" s="34">
        <f t="shared" si="26"/>
        <v>-2.4148044341436941</v>
      </c>
      <c r="H69" s="34">
        <f t="shared" si="26"/>
        <v>-2.4286682611204196</v>
      </c>
      <c r="I69" s="34">
        <f t="shared" si="26"/>
        <v>-2.4257253347394383</v>
      </c>
      <c r="J69" s="34">
        <f t="shared" si="26"/>
        <v>-2.4088530327361055</v>
      </c>
      <c r="K69" s="34">
        <f t="shared" si="26"/>
        <v>-2.3737638768060934</v>
      </c>
      <c r="L69" s="34">
        <f t="shared" si="26"/>
        <v>-2.3191260924404604</v>
      </c>
      <c r="M69" s="34">
        <f t="shared" si="26"/>
        <v>-2.2761824678890399</v>
      </c>
      <c r="N69" s="34">
        <f t="shared" si="26"/>
        <v>-2.2473464616290855</v>
      </c>
      <c r="O69" s="34">
        <f t="shared" si="26"/>
        <v>-2.2261781784583734</v>
      </c>
      <c r="P69" s="34">
        <f t="shared" si="26"/>
        <v>-2.1674013475650584</v>
      </c>
      <c r="Q69" s="34">
        <f t="shared" si="26"/>
        <v>-2.1184055841082019</v>
      </c>
      <c r="R69" s="34">
        <f t="shared" si="26"/>
        <v>-2.0765612298922478</v>
      </c>
      <c r="S69" s="34">
        <f t="shared" si="26"/>
        <v>-2.0410351328274414</v>
      </c>
      <c r="T69" s="34">
        <f t="shared" si="26"/>
        <v>-2.0086495015098058</v>
      </c>
      <c r="U69" s="34">
        <f t="shared" ref="U69" si="27">-T56*U41/100*(1/(1+U41/100))</f>
        <v>-1.9807953629288704</v>
      </c>
      <c r="V69" s="34">
        <f t="shared" ref="V69" si="28">-U56*V41/100*(1/(1+V41/100))</f>
        <v>-1.9568553237645154</v>
      </c>
      <c r="W69" s="34">
        <f t="shared" ref="W69" si="29">-V56*W41/100*(1/(1+W41/100))</f>
        <v>-1.9357698988609495</v>
      </c>
    </row>
    <row r="70" spans="2:23" outlineLevel="1" x14ac:dyDescent="0.2">
      <c r="B70" s="79" t="s">
        <v>118</v>
      </c>
      <c r="C70" s="49"/>
      <c r="D70" s="49">
        <f>'Baseline NFPC'!D70</f>
        <v>1.0712258511347272E-6</v>
      </c>
      <c r="E70" s="49">
        <f>'Baseline NFPC'!E70</f>
        <v>1.157580009625292E-4</v>
      </c>
      <c r="F70" s="49">
        <f>'Baseline NFPC'!F70</f>
        <v>5.778732171579648E-5</v>
      </c>
      <c r="G70" s="49">
        <f>'Baseline NFPC'!G70</f>
        <v>3.7896517824709264E-5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0.81180839999999999</v>
      </c>
      <c r="E71" s="50">
        <f>'Input data'!E16</f>
        <v>1.2174830000000001</v>
      </c>
      <c r="F71" s="50">
        <f>'Input data'!F16</f>
        <v>0.45447110000000002</v>
      </c>
      <c r="G71" s="50">
        <f>'Input data'!G16</f>
        <v>0.94000099999999998</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0.81181420000000004</v>
      </c>
      <c r="E72" s="34">
        <f t="shared" si="30"/>
        <v>1.217482</v>
      </c>
      <c r="F72" s="34">
        <f t="shared" si="30"/>
        <v>0.45447080000000001</v>
      </c>
      <c r="G72" s="34">
        <f t="shared" si="30"/>
        <v>0.94</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-5.8000000000557606E-6</v>
      </c>
      <c r="E73" s="49">
        <f t="shared" si="31"/>
        <v>1.000000000139778E-6</v>
      </c>
      <c r="F73" s="49">
        <f t="shared" si="31"/>
        <v>3.000000000086267E-7</v>
      </c>
      <c r="G73" s="49">
        <f t="shared" si="31"/>
        <v>1.0000000000287557E-6</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0</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116.8408</v>
      </c>
      <c r="D83" s="110">
        <f>D56</f>
        <v>111.62002928145338</v>
      </c>
      <c r="E83" s="110">
        <f>E56</f>
        <v>107.65412775375809</v>
      </c>
      <c r="F83" s="110">
        <f>F56</f>
        <v>105.50997791462379</v>
      </c>
      <c r="G83" s="110">
        <f>G56</f>
        <v>104.97907714628215</v>
      </c>
      <c r="H83" s="110">
        <f>G83*(1+H97/100)*H42-H59-H60+H61+H62+H63+H64+H65+H71</f>
        <v>103.74121471198742</v>
      </c>
      <c r="I83" s="110">
        <f t="shared" ref="I83:S83" si="40">H83*(1+I97/100)*I42-I59-I60+I61+I62+I63+I64+I65+I71</f>
        <v>101.94036868200992</v>
      </c>
      <c r="J83" s="110">
        <f t="shared" si="40"/>
        <v>99.41445907477997</v>
      </c>
      <c r="K83" s="110">
        <f t="shared" si="40"/>
        <v>96.130551813696357</v>
      </c>
      <c r="L83" s="110">
        <f t="shared" si="40"/>
        <v>93.39358691443185</v>
      </c>
      <c r="M83" s="110">
        <f t="shared" si="40"/>
        <v>91.285080403620128</v>
      </c>
      <c r="N83" s="110">
        <f t="shared" si="40"/>
        <v>89.527283216041681</v>
      </c>
      <c r="O83" s="110">
        <f t="shared" si="40"/>
        <v>88.090150507725937</v>
      </c>
      <c r="P83" s="110">
        <f t="shared" si="40"/>
        <v>87.024441019306678</v>
      </c>
      <c r="Q83" s="110">
        <f t="shared" si="40"/>
        <v>86.233044710834392</v>
      </c>
      <c r="R83" s="110">
        <f t="shared" si="40"/>
        <v>85.690015986411083</v>
      </c>
      <c r="S83" s="110">
        <f t="shared" si="40"/>
        <v>85.268732465646835</v>
      </c>
      <c r="T83" s="110">
        <f>S83*(1+T97/100)*T42-T59-T60+T61+T62+T63+T64+T65+T71</f>
        <v>85.033011837933913</v>
      </c>
      <c r="U83" s="110">
        <f>T83*(1+U97/100)*U42-U59-U60+U61+U62+U63+U64+U65+U71</f>
        <v>84.962383373160705</v>
      </c>
      <c r="V83" s="110">
        <f t="shared" ref="V83:W83" si="41">U83*(1+V97/100)*V42-V59-V60+V61+V62+V63+V64+V65+V71</f>
        <v>85.016023068858772</v>
      </c>
      <c r="W83" s="110">
        <f t="shared" si="41"/>
        <v>85.382122708345349</v>
      </c>
    </row>
    <row r="84" spans="2:24" x14ac:dyDescent="0.2">
      <c r="B84" s="26" t="s">
        <v>127</v>
      </c>
      <c r="C84" s="34"/>
      <c r="D84" s="254">
        <f>'Input data'!C66*$D$83</f>
        <v>92.157855454020762</v>
      </c>
      <c r="E84" s="34">
        <f t="shared" ref="E84" si="42">IF(E83=0,0,IF(E79=1,D83*E42/((1+E23/100)*(1+E41/100))-E85-E86,IF(AND(E79=0,E80=1),(1-D89-E38*D90)*D83*E42/((1+E23/100)*(1+E41/100)),E83)))</f>
        <v>86.713038149766305</v>
      </c>
      <c r="F84" s="34">
        <f t="shared" ref="F84" si="43">IF(F83=0,0,IF(F79=1,E83*F42/((1+F23/100)*(1+F41/100))-F85-F86,IF(AND(F79=0,F80=1),(1-E89-F38*E90)*E83*F42/((1+F23/100)*(1+F41/100)),F83)))</f>
        <v>87.011336345534914</v>
      </c>
      <c r="G84" s="34">
        <f>IF(G83=0,0,IF(G79=1,F83*G42/((1+G23/100)*(1+G41/100))-G85-G86,IF(AND(G79=0,G80=1),(1-F89-G38*F90)*F83*G42/((1+G23/100)*(1+G41/100)),G83)))</f>
        <v>86.674141426534902</v>
      </c>
      <c r="H84" s="34">
        <f t="shared" ref="H84:W84" si="44">IF(H83=0,0,IF(H79=1,G83*H42/((1+H23/100)*(1+H41/100))-H85-H86,IF(AND(H79=0,H80=1),(1-G89-H38*G90)*G83*H42/((1+H23/100)*(1+H41/100)),H83)))</f>
        <v>86.664679004720298</v>
      </c>
      <c r="I84" s="34">
        <f t="shared" si="44"/>
        <v>85.537704013200184</v>
      </c>
      <c r="J84" s="34">
        <f t="shared" si="44"/>
        <v>83.89659995981232</v>
      </c>
      <c r="K84" s="34">
        <f t="shared" si="44"/>
        <v>81.064782310539144</v>
      </c>
      <c r="L84" s="34">
        <f t="shared" si="44"/>
        <v>78.560634988373238</v>
      </c>
      <c r="M84" s="34">
        <f t="shared" si="44"/>
        <v>76.592941951159659</v>
      </c>
      <c r="N84" s="34">
        <f t="shared" si="44"/>
        <v>74.894382150888688</v>
      </c>
      <c r="O84" s="34">
        <f t="shared" si="44"/>
        <v>73.46023950554374</v>
      </c>
      <c r="P84" s="34">
        <f t="shared" si="44"/>
        <v>72.332118869770241</v>
      </c>
      <c r="Q84" s="34">
        <f t="shared" si="44"/>
        <v>71.451021459671736</v>
      </c>
      <c r="R84" s="34">
        <f t="shared" si="44"/>
        <v>70.796130978888243</v>
      </c>
      <c r="S84" s="34">
        <f t="shared" si="44"/>
        <v>70.259587081483673</v>
      </c>
      <c r="T84" s="34">
        <f t="shared" si="44"/>
        <v>69.884961129009255</v>
      </c>
      <c r="U84" s="34">
        <f t="shared" si="44"/>
        <v>69.654044914134914</v>
      </c>
      <c r="V84" s="34">
        <f t="shared" si="44"/>
        <v>69.54713350805406</v>
      </c>
      <c r="W84" s="34">
        <f t="shared" si="44"/>
        <v>69.674099891472622</v>
      </c>
      <c r="X84" s="34"/>
    </row>
    <row r="85" spans="2:24" x14ac:dyDescent="0.2">
      <c r="B85" s="105" t="s">
        <v>128</v>
      </c>
      <c r="C85" s="34"/>
      <c r="D85" s="254">
        <f>'Input data'!C67*$D$83</f>
        <v>6.6572250300998093</v>
      </c>
      <c r="E85" s="34">
        <f t="shared" ref="E85" si="45">IF(E83=0,0,IF(E79=1,E38*D83*D90*E42/((1+E23/100)*(1+E41/100)),IF(AND(E79=0,E80=1),(E38*D83*D90*E42/((1+E23/100)*(1+E41/100)))*(1-ABS(E83-D83*E42/((1+E23/100)*(1+E41/100)))/((E38*D83*D90*E42/((1+E23/100)*(1+E41/100)))+(D89*D83*E42/((1+E23/100)*(1+E41/100))))),0)))</f>
        <v>9.0521709577617173</v>
      </c>
      <c r="F85" s="34">
        <f t="shared" ref="F85" si="46">IF(F83=0,0,IF(F79=1,F38*E83*E90*F42/((1+F23/100)*(1+F41/100)),IF(AND(F79=0,F80=1),(F38*E83*E90*F42/((1+F23/100)*(1+F41/100)))*(1-ABS(F83-E83*F42/((1+F23/100)*(1+F41/100)))/((F38*E83*E90*F42/((1+F23/100)*(1+F41/100)))+(E89*E83*F42/((1+F23/100)*(1+F41/100))))),0)))</f>
        <v>8.1018922360868402</v>
      </c>
      <c r="G85" s="34">
        <f t="shared" ref="G85" si="47">IF(G83=0,0,IF(G79=1,G38*F83*F90*G42/((1+G23/100)*(1+G41/100)),IF(AND(G79=0,G80=1),(G38*F83*F90*G42/((1+G23/100)*(1+G41/100)))*(1-ABS(G83-F83*G42/((1+G23/100)*(1+G41/100)))/((G38*F83*F90*G42/((1+G23/100)*(1+G41/100)))+(F89*F83*G42/((1+G23/100)*(1+G41/100))))),0)))</f>
        <v>8.0987933404519996</v>
      </c>
      <c r="H85" s="34">
        <f t="shared" ref="H85:W85" si="48">IF(H83=0,0,IF(H79=1,H38*G83*G90*H42/((1+H23/100)*(1+H41/100)),IF(AND(H79=0,H80=1),(H38*G83*G90*H42/((1+H23/100)*(1+H41/100)))*(1-ABS(H83-G83*H42/((1+H23/100)*(1+H41/100)))/((H38*G83*G90*H42/((1+H23/100)*(1+H41/100)))+(G89*G83*H42/((1+H23/100)*(1+H41/100))))),0)))</f>
        <v>8.1262213509330685</v>
      </c>
      <c r="I85" s="34">
        <f t="shared" si="48"/>
        <v>8.0485098501896672</v>
      </c>
      <c r="J85" s="34">
        <f t="shared" si="48"/>
        <v>7.9215339019974236</v>
      </c>
      <c r="K85" s="34">
        <f t="shared" si="48"/>
        <v>7.6806834029250943</v>
      </c>
      <c r="L85" s="34">
        <f t="shared" si="48"/>
        <v>7.4691479054339576</v>
      </c>
      <c r="M85" s="34">
        <f t="shared" si="48"/>
        <v>7.3071663912706804</v>
      </c>
      <c r="N85" s="34">
        <f t="shared" si="48"/>
        <v>7.1696742788308798</v>
      </c>
      <c r="O85" s="34">
        <f t="shared" si="48"/>
        <v>7.0564822762911383</v>
      </c>
      <c r="P85" s="34">
        <f t="shared" si="48"/>
        <v>6.9481166716397498</v>
      </c>
      <c r="Q85" s="34">
        <f t="shared" si="48"/>
        <v>6.8634797537656</v>
      </c>
      <c r="R85" s="34">
        <f t="shared" si="48"/>
        <v>6.8005719399377966</v>
      </c>
      <c r="S85" s="34">
        <f t="shared" si="48"/>
        <v>6.749032324385607</v>
      </c>
      <c r="T85" s="34">
        <f t="shared" si="48"/>
        <v>6.7130463078456675</v>
      </c>
      <c r="U85" s="34">
        <f t="shared" si="48"/>
        <v>6.6908648367731978</v>
      </c>
      <c r="V85" s="34">
        <f t="shared" si="48"/>
        <v>6.68059508476557</v>
      </c>
      <c r="W85" s="34">
        <f t="shared" si="48"/>
        <v>6.6927912883215113</v>
      </c>
    </row>
    <row r="86" spans="2:24" x14ac:dyDescent="0.2">
      <c r="B86" s="105" t="s">
        <v>129</v>
      </c>
      <c r="C86" s="34"/>
      <c r="D86" s="254">
        <f>'Input data'!C68*$D$83</f>
        <v>7.2591429731261297</v>
      </c>
      <c r="E86" s="34">
        <f t="shared" ref="E86" si="49">IF(E83=0,0,IF(E79=1,(1-D90)*D83*E42/((1+E23/100)*(1+E41/100)),IF(AND(E79=0,E80=1),(D89*D83*E42/((1+E23/100)*(1+E41/100)))*(1-ABS(E83-D83*E42/((1+E23/100)*(1+E41/100)))/((E38*D83*D90*E42/((1+E23/100)*(1+E41/100)))+(D89*D83*E42/((1+E23/100)*(1+E41/100))))),0)))</f>
        <v>7.0350986971308531</v>
      </c>
      <c r="F86" s="34">
        <f t="shared" ref="F86" si="50">IF(F83=0,0,IF(F79=1,(1-E90)*E83*F42/((1+F23/100)*(1+F41/100)),IF(AND(F79=0,F80=1),(E89*E83*F42/((1+F23/100)*(1+F41/100)))*(1-ABS(F83-E83*F42/((1+F23/100)*(1+F41/100)))/((F38*E83*E90*F42/((1+F23/100)*(1+F41/100)))+(E89*E83*F42/((1+F23/100)*(1+F41/100))))),0)))</f>
        <v>6.9602121255570193</v>
      </c>
      <c r="G86" s="34">
        <f t="shared" ref="G86" si="51">IF(G83=0,0,IF(G79=1,(1-F90)*F83*G42/((1+G23/100)*(1+G41/100)),IF(AND(G79=0,G80=1),(F89*F83*G42/((1+G23/100)*(1+G41/100)))*(1-ABS(G83-F83*G42/((1+G23/100)*(1+G41/100)))/((G38*F83*F90*G42/((1+G23/100)*(1+G41/100)))+(F89*F83*G42/((1+G23/100)*(1+G41/100))))),0)))</f>
        <v>6.9167660376294151</v>
      </c>
      <c r="H86" s="34">
        <f t="shared" ref="H86:W86" si="52">IF(H83=0,0,IF(H79=1,(1-G90)*G83*H42/((1+H23/100)*(1+H41/100)),IF(AND(H79=0,H80=1),(G89*G83*H42/((1+H23/100)*(1+H41/100)))*(1-ABS(H83-G83*H42/((1+H23/100)*(1+H41/100)))/((H38*G83*G90*H42/((1+H23/100)*(1+H41/100)))+(G89*G83*H42/((1+H23/100)*(1+H41/100))))),0)))</f>
        <v>6.9008213919165069</v>
      </c>
      <c r="I86" s="34">
        <f t="shared" si="52"/>
        <v>6.8027175673420732</v>
      </c>
      <c r="J86" s="34">
        <f t="shared" si="52"/>
        <v>6.6664918203224053</v>
      </c>
      <c r="K86" s="34">
        <f t="shared" si="52"/>
        <v>6.4388928671515631</v>
      </c>
      <c r="L86" s="34">
        <f t="shared" si="52"/>
        <v>6.2373034989167735</v>
      </c>
      <c r="M86" s="34">
        <f t="shared" si="52"/>
        <v>6.0775100652485436</v>
      </c>
      <c r="N86" s="34">
        <f t="shared" si="52"/>
        <v>5.9383289419554588</v>
      </c>
      <c r="O86" s="34">
        <f t="shared" si="52"/>
        <v>5.8192516568416828</v>
      </c>
      <c r="P86" s="34">
        <f t="shared" si="52"/>
        <v>5.7218433519451208</v>
      </c>
      <c r="Q86" s="34">
        <f t="shared" si="52"/>
        <v>5.643058948012424</v>
      </c>
      <c r="R86" s="34">
        <f t="shared" si="52"/>
        <v>5.5813553985674433</v>
      </c>
      <c r="S86" s="34">
        <f t="shared" si="52"/>
        <v>5.5283442380188088</v>
      </c>
      <c r="T86" s="34">
        <f t="shared" si="52"/>
        <v>5.4875672160529376</v>
      </c>
      <c r="U86" s="34">
        <f t="shared" si="52"/>
        <v>5.4576434755289913</v>
      </c>
      <c r="V86" s="34">
        <f t="shared" si="52"/>
        <v>5.4370756986025857</v>
      </c>
      <c r="W86" s="34">
        <f t="shared" si="52"/>
        <v>5.4345421860796312</v>
      </c>
    </row>
    <row r="87" spans="2:24" x14ac:dyDescent="0.2">
      <c r="B87" s="105" t="s">
        <v>130</v>
      </c>
      <c r="C87" s="34"/>
      <c r="D87" s="254">
        <f>'Input data'!C69*$D$83</f>
        <v>5.1662759242534131</v>
      </c>
      <c r="E87" s="34">
        <f>IF(E83=0,0,IF(E79=1,'Input data'!$C$58*(E83-D83*E42/((1+E23/100)*(1+E41/100))),0))</f>
        <v>4.5481690823205021</v>
      </c>
      <c r="F87" s="34">
        <f>IF(F83=0,0,IF(F79=1,'Input data'!$C$58*(F83-E83*F42/((1+F23/100)*(1+F41/100))),0))</f>
        <v>3.2201343356475522</v>
      </c>
      <c r="G87" s="34">
        <f>IF(G83=0,0,IF(G79=1,'Input data'!$C$58*(G83-F83*G42/((1+G23/100)*(1+G41/100))),0))</f>
        <v>3.0822403661795215</v>
      </c>
      <c r="H87" s="34">
        <f>IF(H83=0,0,IF(H79=1,'Input data'!$C$58*(H83-G83*H42/((1+H23/100)*(1+H41/100))),0))</f>
        <v>1.9204339330566222</v>
      </c>
      <c r="I87" s="34">
        <f>IF(I83=0,0,IF(I79=1,'Input data'!$C$58*(I83-H83*I42/((1+I23/100)*(1+I41/100))),0))</f>
        <v>1.4537413858403254</v>
      </c>
      <c r="J87" s="34">
        <f>IF(J83=0,0,IF(J79=1,'Input data'!$C$58*(J83-I83*J42/((1+J23/100)*(1+J41/100))),0))</f>
        <v>0.87128066811271765</v>
      </c>
      <c r="K87" s="34">
        <f>IF(K83=0,0,IF(K79=1,'Input data'!$C$58*(K83-J83*K42/((1+K23/100)*(1+K41/100))),0))</f>
        <v>0.88661030976158772</v>
      </c>
      <c r="L87" s="34">
        <f>IF(L83=0,0,IF(L79=1,'Input data'!$C$58*(L83-K83*L42/((1+L23/100)*(1+L41/100))),0))</f>
        <v>1.0555634320553109</v>
      </c>
      <c r="M87" s="34">
        <f>IF(M83=0,0,IF(M79=1,'Input data'!$C$58*(M83-L83*M42/((1+M23/100)*(1+M41/100))),0))</f>
        <v>1.2251295451024238</v>
      </c>
      <c r="N87" s="34">
        <f>IF(N83=0,0,IF(N79=1,'Input data'!$C$58*(N83-M83*N42/((1+N23/100)*(1+N41/100))),0))</f>
        <v>1.4288731972294677</v>
      </c>
      <c r="O87" s="34">
        <f>IF(O83=0,0,IF(O79=1,'Input data'!$C$58*(O83-N83*O42/((1+O23/100)*(1+O41/100))),0))</f>
        <v>1.6437144339988543</v>
      </c>
      <c r="P87" s="34">
        <f>IF(P83=0,0,IF(P79=1,'Input data'!$C$58*(P83-O83*P42/((1+P23/100)*(1+P41/100))),0))</f>
        <v>1.8950115560458387</v>
      </c>
      <c r="Q87" s="34">
        <f>IF(Q83=0,0,IF(Q79=1,'Input data'!$C$58*(Q83-P83*Q42/((1+Q23/100)*(1+Q41/100))),0))</f>
        <v>2.1321945567284195</v>
      </c>
      <c r="R87" s="34">
        <f>IF(R83=0,0,IF(R79=1,'Input data'!$C$58*(R83-Q83*R42/((1+R23/100)*(1+R41/100))),0))</f>
        <v>2.3537766802503635</v>
      </c>
      <c r="S87" s="34">
        <f>IF(S83=0,0,IF(S79=1,'Input data'!$C$58*(S83-R83*S42/((1+S23/100)*(1+S41/100))),0))</f>
        <v>2.5597460609300144</v>
      </c>
      <c r="T87" s="34">
        <f>IF(T83=0,0,IF(T79=1,'Input data'!$C$58*(T83-S83*T42/((1+T23/100)*(1+T41/100))),0))</f>
        <v>2.7618335285603344</v>
      </c>
      <c r="U87" s="34">
        <f>IF(U83=0,0,IF(U79=1,'Input data'!$C$58*(U83-T83*U42/((1+U23/100)*(1+U41/100))),0))</f>
        <v>2.9608518505882322</v>
      </c>
      <c r="V87" s="34">
        <f>IF(V83=0,0,IF(V79=1,'Input data'!$C$58*(V83-U83*V42/((1+V23/100)*(1+V41/100))),0))</f>
        <v>3.1401885095588442</v>
      </c>
      <c r="W87" s="34">
        <f>IF(W83=0,0,IF(W79=1,'Input data'!$C$58*(W83-V83*W42/((1+W23/100)*(1+W41/100))),0))</f>
        <v>3.3552090377489399</v>
      </c>
    </row>
    <row r="88" spans="2:24" x14ac:dyDescent="0.2">
      <c r="B88" s="107" t="s">
        <v>131</v>
      </c>
      <c r="C88" s="49"/>
      <c r="D88" s="255">
        <f>'Input data'!C70*$D$83</f>
        <v>0.37952439985328523</v>
      </c>
      <c r="E88" s="49">
        <f>IF(E83=0,0,IF(E79=1,'Input data'!$C$57*(E83-D83*E42/((1+E23/100)*(1+E41/100))),0))</f>
        <v>0.30565086677871672</v>
      </c>
      <c r="F88" s="49">
        <f>IF(F83=0,0,IF(F79=1,'Input data'!$C$57*(F83-E83*F42/((1+F23/100)*(1+F41/100))),0))</f>
        <v>0.21640287179746145</v>
      </c>
      <c r="G88" s="49">
        <f>IF(G83=0,0,IF(G79=1,'Input data'!$C$57*(G83-F83*G42/((1+G23/100)*(1+G41/100))),0))</f>
        <v>0.20713597548630724</v>
      </c>
      <c r="H88" s="49">
        <f>IF(H83=0,0,IF(H79=1,'Input data'!$C$57*(H83-G83*H42/((1+H23/100)*(1+H41/100))),0))</f>
        <v>0.12905903136093061</v>
      </c>
      <c r="I88" s="49">
        <f>IF(I83=0,0,IF(I79=1,'Input data'!$C$57*(I83-H83*I42/((1+I23/100)*(1+I41/100))),0))</f>
        <v>9.7695865437677373E-2</v>
      </c>
      <c r="J88" s="49">
        <f>IF(J83=0,0,IF(J79=1,'Input data'!$C$57*(J83-I83*J42/((1+J23/100)*(1+J41/100))),0))</f>
        <v>5.8552724535104544E-2</v>
      </c>
      <c r="K88" s="49">
        <f>IF(K83=0,0,IF(K79=1,'Input data'!$C$57*(K83-J83*K42/((1+K23/100)*(1+K41/100))),0))</f>
        <v>5.9582923318961908E-2</v>
      </c>
      <c r="L88" s="49">
        <f>IF(L83=0,0,IF(L79=1,'Input data'!$C$57*(L83-K83*L42/((1+L23/100)*(1+L41/100))),0))</f>
        <v>7.0937089652571408E-2</v>
      </c>
      <c r="M88" s="49">
        <f>IF(M83=0,0,IF(M79=1,'Input data'!$C$57*(M83-L83*M42/((1+M23/100)*(1+M41/100))),0))</f>
        <v>8.233245083881495E-2</v>
      </c>
      <c r="N88" s="49">
        <f>IF(N83=0,0,IF(N79=1,'Input data'!$C$57*(N83-M83*N42/((1+N23/100)*(1+N41/100))),0))</f>
        <v>9.6024647137181118E-2</v>
      </c>
      <c r="O88" s="49">
        <f>IF(O83=0,0,IF(O79=1,'Input data'!$C$57*(O83-N83*O42/((1+O23/100)*(1+O41/100))),0))</f>
        <v>0.11046263505052209</v>
      </c>
      <c r="P88" s="49">
        <f>IF(P83=0,0,IF(P79=1,'Input data'!$C$57*(P83-O83*P42/((1+P23/100)*(1+P41/100))),0))</f>
        <v>0.12735056990572086</v>
      </c>
      <c r="Q88" s="49">
        <f>IF(Q83=0,0,IF(Q79=1,'Input data'!$C$57*(Q83-P83*Q42/((1+Q23/100)*(1+Q41/100))),0))</f>
        <v>0.14328999265620937</v>
      </c>
      <c r="R88" s="49">
        <f>IF(R83=0,0,IF(R79=1,'Input data'!$C$57*(R83-Q83*R42/((1+R23/100)*(1+R41/100))),0))</f>
        <v>0.1581809887672414</v>
      </c>
      <c r="S88" s="49">
        <f>IF(S83=0,0,IF(S79=1,'Input data'!$C$57*(S83-R83*S42/((1+S23/100)*(1+S41/100))),0))</f>
        <v>0.17202276082873452</v>
      </c>
      <c r="T88" s="49">
        <f>IF(T83=0,0,IF(T79=1,'Input data'!$C$57*(T83-S83*T42/((1+T23/100)*(1+T41/100))),0))</f>
        <v>0.18560365646571222</v>
      </c>
      <c r="U88" s="49">
        <f>IF(U83=0,0,IF(U79=1,'Input data'!$C$57*(U83-T83*U42/((1+U23/100)*(1+U41/100))),0))</f>
        <v>0.19897829613536072</v>
      </c>
      <c r="V88" s="49">
        <f>IF(V83=0,0,IF(V79=1,'Input data'!$C$57*(V83-U83*V42/((1+V23/100)*(1+V41/100))),0))</f>
        <v>0.21103026787771295</v>
      </c>
      <c r="W88" s="49">
        <f>IF(W83=0,0,IF(W79=1,'Input data'!$C$57*(W83-V83*W42/((1+W23/100)*(1+W41/100))),0))</f>
        <v>0.2254803047226468</v>
      </c>
    </row>
    <row r="89" spans="2:24" x14ac:dyDescent="0.2">
      <c r="B89" s="26" t="s">
        <v>73</v>
      </c>
      <c r="C89" s="34"/>
      <c r="D89" s="260">
        <f>'Baseline NFPC'!$D$93</f>
        <v>6.8434607321399721E-2</v>
      </c>
      <c r="E89" s="34">
        <f t="shared" ref="E89:G89" si="53">IF(E83&lt;&gt;0,(E86+E88)/(E84+E85+E86+E87+E88),0)</f>
        <v>6.8188277747234932E-2</v>
      </c>
      <c r="F89" s="34">
        <f t="shared" si="53"/>
        <v>6.8018353706429835E-2</v>
      </c>
      <c r="G89" s="34">
        <f t="shared" si="53"/>
        <v>6.7860208022108875E-2</v>
      </c>
      <c r="H89" s="34">
        <f t="shared" ref="H89:W89" si="54">IF(H83&lt;&gt;0,(H86+H88)/(H84+H85+H86+H87+H88),0)</f>
        <v>6.7763621650220818E-2</v>
      </c>
      <c r="I89" s="34">
        <f t="shared" si="54"/>
        <v>6.7690685466370221E-2</v>
      </c>
      <c r="J89" s="34">
        <f t="shared" si="54"/>
        <v>6.7646543646119967E-2</v>
      </c>
      <c r="K89" s="34">
        <f t="shared" si="54"/>
        <v>6.7600525201028161E-2</v>
      </c>
      <c r="L89" s="34">
        <f t="shared" si="54"/>
        <v>6.7544686921051852E-2</v>
      </c>
      <c r="M89" s="34">
        <f t="shared" si="54"/>
        <v>6.7479181579852957E-2</v>
      </c>
      <c r="N89" s="34">
        <f t="shared" si="54"/>
        <v>6.7402398155330057E-2</v>
      </c>
      <c r="O89" s="34">
        <f t="shared" si="54"/>
        <v>6.7314157799879565E-2</v>
      </c>
      <c r="P89" s="34">
        <f t="shared" si="54"/>
        <v>6.721323174662136E-2</v>
      </c>
      <c r="Q89" s="34">
        <f t="shared" si="54"/>
        <v>6.710129463794326E-2</v>
      </c>
      <c r="R89" s="34">
        <f t="shared" si="54"/>
        <v>6.6980223089757304E-2</v>
      </c>
      <c r="S89" s="34">
        <f t="shared" si="54"/>
        <v>6.6851785338126302E-2</v>
      </c>
      <c r="T89" s="34">
        <f t="shared" si="54"/>
        <v>6.6717275442756963E-2</v>
      </c>
      <c r="U89" s="34">
        <f t="shared" si="54"/>
        <v>6.6577955409043502E-2</v>
      </c>
      <c r="V89" s="34">
        <f t="shared" si="54"/>
        <v>6.6435781898497095E-2</v>
      </c>
      <c r="W89" s="34">
        <f t="shared" si="54"/>
        <v>6.6290486945800198E-2</v>
      </c>
    </row>
    <row r="90" spans="2:24" x14ac:dyDescent="0.2">
      <c r="B90" s="35" t="s">
        <v>74</v>
      </c>
      <c r="C90" s="49"/>
      <c r="D90" s="261">
        <f>'Baseline NFPC'!$D$94</f>
        <v>0.93156539267860028</v>
      </c>
      <c r="E90" s="49">
        <f t="shared" ref="E90:G90" si="55">IF(E83&lt;&gt;0,(E84+E85+E87)/(E84+E85+E86+E87+E88),1)</f>
        <v>0.9318117222527651</v>
      </c>
      <c r="F90" s="49">
        <f t="shared" si="55"/>
        <v>0.93198164629357017</v>
      </c>
      <c r="G90" s="49">
        <f t="shared" si="55"/>
        <v>0.9321397919778911</v>
      </c>
      <c r="H90" s="49">
        <f t="shared" ref="H90:W90" si="56">IF(H83&lt;&gt;0,(H84+H85+H87)/(H84+H85+H86+H87+H88),1)</f>
        <v>0.93223637834977924</v>
      </c>
      <c r="I90" s="49">
        <f t="shared" si="56"/>
        <v>0.93230931453362986</v>
      </c>
      <c r="J90" s="49">
        <f t="shared" si="56"/>
        <v>0.93235345635388001</v>
      </c>
      <c r="K90" s="49">
        <f t="shared" si="56"/>
        <v>0.93239947479897189</v>
      </c>
      <c r="L90" s="49">
        <f t="shared" si="56"/>
        <v>0.93245531307894813</v>
      </c>
      <c r="M90" s="49">
        <f t="shared" si="56"/>
        <v>0.932520818420147</v>
      </c>
      <c r="N90" s="49">
        <f t="shared" si="56"/>
        <v>0.93259760184466989</v>
      </c>
      <c r="O90" s="49">
        <f t="shared" si="56"/>
        <v>0.93268584220012041</v>
      </c>
      <c r="P90" s="49">
        <f t="shared" si="56"/>
        <v>0.9327867682533787</v>
      </c>
      <c r="Q90" s="49">
        <f t="shared" si="56"/>
        <v>0.93289870536205677</v>
      </c>
      <c r="R90" s="49">
        <f t="shared" si="56"/>
        <v>0.93301977691024274</v>
      </c>
      <c r="S90" s="49">
        <f t="shared" si="56"/>
        <v>0.9331482146618737</v>
      </c>
      <c r="T90" s="49">
        <f t="shared" si="56"/>
        <v>0.93328272455724304</v>
      </c>
      <c r="U90" s="49">
        <f t="shared" si="56"/>
        <v>0.93342204459095635</v>
      </c>
      <c r="V90" s="49">
        <f t="shared" si="56"/>
        <v>0.93356421810150292</v>
      </c>
      <c r="W90" s="49">
        <f t="shared" si="56"/>
        <v>0.9337095130541998</v>
      </c>
    </row>
    <row r="92" spans="2:24" x14ac:dyDescent="0.2">
      <c r="B92" s="113" t="s">
        <v>132</v>
      </c>
      <c r="C92" s="51"/>
      <c r="D92" s="51"/>
      <c r="E92" s="52">
        <f t="shared" ref="E92:G92" si="57">E94+E95</f>
        <v>2.3933340000000003</v>
      </c>
      <c r="F92" s="52">
        <f t="shared" si="57"/>
        <v>2.4819740000000001</v>
      </c>
      <c r="G92" s="52">
        <f t="shared" si="57"/>
        <v>2.5283960000000008</v>
      </c>
      <c r="H92" s="52">
        <f t="shared" ref="H92:W92" si="58">H94+H95</f>
        <v>2.636124678758041</v>
      </c>
      <c r="I92" s="52">
        <f t="shared" si="58"/>
        <v>2.7338648014854905</v>
      </c>
      <c r="J92" s="52">
        <f t="shared" si="58"/>
        <v>2.8287631783892078</v>
      </c>
      <c r="K92" s="52">
        <f t="shared" si="58"/>
        <v>2.9198416139539645</v>
      </c>
      <c r="L92" s="52">
        <f t="shared" si="58"/>
        <v>3.0130674046966206</v>
      </c>
      <c r="M92" s="52">
        <f t="shared" si="58"/>
        <v>3.1098410188699481</v>
      </c>
      <c r="N92" s="52">
        <f t="shared" si="58"/>
        <v>3.2099090575644502</v>
      </c>
      <c r="O92" s="52">
        <f t="shared" si="58"/>
        <v>3.3133994499769703</v>
      </c>
      <c r="P92" s="52">
        <f t="shared" si="58"/>
        <v>3.4055138098213984</v>
      </c>
      <c r="Q92" s="52">
        <f t="shared" si="58"/>
        <v>3.4884140905828289</v>
      </c>
      <c r="R92" s="52">
        <f t="shared" si="58"/>
        <v>3.5623557803753587</v>
      </c>
      <c r="S92" s="52">
        <f t="shared" si="58"/>
        <v>3.6276685960934381</v>
      </c>
      <c r="T92" s="52">
        <f t="shared" si="58"/>
        <v>3.684779096910058</v>
      </c>
      <c r="U92" s="52">
        <f t="shared" si="58"/>
        <v>3.7342162336695228</v>
      </c>
      <c r="V92" s="52">
        <f t="shared" si="58"/>
        <v>3.7765237631651356</v>
      </c>
      <c r="W92" s="52">
        <f t="shared" si="58"/>
        <v>3.812190356191667</v>
      </c>
    </row>
    <row r="93" spans="2:24" x14ac:dyDescent="0.2">
      <c r="B93" s="33" t="s">
        <v>133</v>
      </c>
      <c r="C93" s="97"/>
      <c r="D93" s="97"/>
      <c r="E93" s="266">
        <f>((E35*D83)-(E37*(D86+D88)))/(D84+D85+D87)</f>
        <v>2.3171786788845403</v>
      </c>
      <c r="F93" s="266">
        <f t="shared" ref="F93:G93" si="59">((F35*E83)-(F37*(E86+E88)))/(E84+E85+E87)</f>
        <v>2.4027780950578612</v>
      </c>
      <c r="G93" s="266">
        <f t="shared" si="59"/>
        <v>2.5073785716419166</v>
      </c>
      <c r="H93" s="34">
        <f t="shared" ref="H93:W93" si="60">IF(G83&gt;0,(G93*G84+H36*(G87+G85))/(G84+G85+G87),H36)</f>
        <v>2.6238239707161255</v>
      </c>
      <c r="I93" s="34">
        <f t="shared" si="60"/>
        <v>2.7295078805118211</v>
      </c>
      <c r="J93" s="34">
        <f t="shared" si="60"/>
        <v>2.8321208187286802</v>
      </c>
      <c r="K93" s="34">
        <f t="shared" si="60"/>
        <v>2.9306238906160922</v>
      </c>
      <c r="L93" s="34">
        <f t="shared" si="60"/>
        <v>3.0314190674861594</v>
      </c>
      <c r="M93" s="34">
        <f t="shared" si="60"/>
        <v>3.1360039610167241</v>
      </c>
      <c r="N93" s="34">
        <f>IF(M83&gt;0,(M93*M84+N36*(M87+M85))/(M84+M85+M87),N36)</f>
        <v>3.2441025776111001</v>
      </c>
      <c r="O93" s="34">
        <f>IF(N83&gt;0,(N93*N84+O36*(N87+N85))/(N84+N85+N87),O36)</f>
        <v>3.3558465518239351</v>
      </c>
      <c r="P93" s="34">
        <f t="shared" si="60"/>
        <v>3.4571696259700704</v>
      </c>
      <c r="Q93" s="34">
        <f t="shared" si="60"/>
        <v>3.5485763411852327</v>
      </c>
      <c r="R93" s="34">
        <f t="shared" si="60"/>
        <v>3.6303403890082238</v>
      </c>
      <c r="S93" s="34">
        <f t="shared" si="60"/>
        <v>3.7028167025656571</v>
      </c>
      <c r="T93" s="34">
        <f t="shared" si="60"/>
        <v>3.7664651353324685</v>
      </c>
      <c r="U93" s="34">
        <f t="shared" si="60"/>
        <v>3.8218555496222226</v>
      </c>
      <c r="V93" s="34">
        <f t="shared" si="60"/>
        <v>3.8695741559885208</v>
      </c>
      <c r="W93" s="34">
        <f t="shared" si="60"/>
        <v>3.9101496260116657</v>
      </c>
    </row>
    <row r="94" spans="2:24" x14ac:dyDescent="0.2">
      <c r="B94" s="26" t="s">
        <v>134</v>
      </c>
      <c r="C94" s="97"/>
      <c r="D94" s="97"/>
      <c r="E94" s="34">
        <f t="shared" ref="E94:F94" si="61">(E93*(D84+D85+D87)+E37*(D86+D88))/D83</f>
        <v>2.3933340000000003</v>
      </c>
      <c r="F94" s="34">
        <f t="shared" si="61"/>
        <v>2.4819740000000001</v>
      </c>
      <c r="G94" s="34">
        <f>(G93*(F84+F85+F87)+G37*(F86+F88))/F83</f>
        <v>2.5283960000000008</v>
      </c>
      <c r="H94" s="34">
        <f t="shared" ref="H94:W94" si="62">(H93*(G84+G85+G87)+H37*(G86+G88))/G83</f>
        <v>2.636124678758041</v>
      </c>
      <c r="I94" s="34">
        <f t="shared" si="62"/>
        <v>2.7338648014854905</v>
      </c>
      <c r="J94" s="34">
        <f t="shared" si="62"/>
        <v>2.8287631783892078</v>
      </c>
      <c r="K94" s="34">
        <f t="shared" si="62"/>
        <v>2.9198416139539645</v>
      </c>
      <c r="L94" s="34">
        <f t="shared" si="62"/>
        <v>3.0130674046966206</v>
      </c>
      <c r="M94" s="34">
        <f t="shared" si="62"/>
        <v>3.1098410188699481</v>
      </c>
      <c r="N94" s="34">
        <f>(N93*(M84+M85+M87)+N37*(M86+M88))/M83</f>
        <v>3.2099090575644502</v>
      </c>
      <c r="O94" s="34">
        <f>(O93*(N84+N85+N87)+O37*(N86+N88))/N83</f>
        <v>3.3133994499769703</v>
      </c>
      <c r="P94" s="34">
        <f t="shared" si="62"/>
        <v>3.4055138098213984</v>
      </c>
      <c r="Q94" s="34">
        <f t="shared" si="62"/>
        <v>3.4884140905828289</v>
      </c>
      <c r="R94" s="34">
        <f t="shared" si="62"/>
        <v>3.5623557803753587</v>
      </c>
      <c r="S94" s="34">
        <f t="shared" si="62"/>
        <v>3.6276685960934381</v>
      </c>
      <c r="T94" s="34">
        <f t="shared" si="62"/>
        <v>3.684779096910058</v>
      </c>
      <c r="U94" s="34">
        <f t="shared" si="62"/>
        <v>3.7342162336695228</v>
      </c>
      <c r="V94" s="34">
        <f t="shared" si="62"/>
        <v>3.7765237631651356</v>
      </c>
      <c r="W94" s="34">
        <f t="shared" si="62"/>
        <v>3.812190356191667</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-8.4497143178961629</v>
      </c>
      <c r="D97" s="52">
        <f t="shared" si="63"/>
        <v>-9.2163584932544946</v>
      </c>
      <c r="E97" s="52">
        <f t="shared" si="63"/>
        <v>-5.697334787438213</v>
      </c>
      <c r="F97" s="52">
        <f t="shared" si="63"/>
        <v>-2.8305935414681183</v>
      </c>
      <c r="G97" s="52">
        <f>((1+G92/100)/((1+G23/100)*(1+G41/100))-1)*100</f>
        <v>-1.1839247881014203</v>
      </c>
      <c r="H97" s="52">
        <f t="shared" si="63"/>
        <v>-0.57786260077836715</v>
      </c>
      <c r="I97" s="52">
        <f t="shared" si="63"/>
        <v>-0.58586707507780611</v>
      </c>
      <c r="J97" s="52">
        <f t="shared" si="63"/>
        <v>-0.65709608555241106</v>
      </c>
      <c r="K97" s="52">
        <f t="shared" si="63"/>
        <v>-1.4594134453428387</v>
      </c>
      <c r="L97" s="52">
        <f t="shared" si="63"/>
        <v>-1.1270047816947959</v>
      </c>
      <c r="M97" s="52">
        <f t="shared" si="63"/>
        <v>-0.66150968403722032</v>
      </c>
      <c r="N97" s="52">
        <f t="shared" si="63"/>
        <v>-0.5016137259257647</v>
      </c>
      <c r="O97" s="52">
        <f t="shared" si="63"/>
        <v>-0.36933334335391699</v>
      </c>
      <c r="P97" s="52">
        <f t="shared" si="63"/>
        <v>-0.21945027668602846</v>
      </c>
      <c r="Q97" s="52">
        <f t="shared" si="63"/>
        <v>-0.15868358067903099</v>
      </c>
      <c r="R97" s="52">
        <f t="shared" si="63"/>
        <v>-0.10655778799808502</v>
      </c>
      <c r="S97" s="52">
        <f t="shared" si="63"/>
        <v>-0.1854181381758746</v>
      </c>
      <c r="T97" s="52">
        <f t="shared" si="63"/>
        <v>-0.1858661572270659</v>
      </c>
      <c r="U97" s="52">
        <f>((1+U92/100)/((1+U23/100)*(1+U41/100))-1)*100</f>
        <v>-0.20671311712920915</v>
      </c>
      <c r="V97" s="52">
        <f t="shared" ref="V97:W97" si="64">((1+V92/100)/((1+V23/100)*(1+V41/100))-1)*100</f>
        <v>-0.25127395566691968</v>
      </c>
      <c r="W97" s="52">
        <f t="shared" si="64"/>
        <v>-0.11311202937206444</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116.84076690673828</v>
      </c>
      <c r="D103" s="34">
        <v>111.61799621582031</v>
      </c>
      <c r="E103" s="34">
        <v>107.65208435058594</v>
      </c>
      <c r="F103" s="34">
        <v>105.50792694091797</v>
      </c>
      <c r="G103" s="34">
        <v>104.97699737548828</v>
      </c>
      <c r="H103" s="34">
        <v>103.73914337158203</v>
      </c>
      <c r="I103" s="34">
        <v>101.93830108642578</v>
      </c>
      <c r="J103" s="34">
        <v>99.41241455078125</v>
      </c>
      <c r="K103" s="34">
        <v>96.128524780273438</v>
      </c>
      <c r="L103" s="34">
        <v>93.391571044921875</v>
      </c>
      <c r="M103" s="34">
        <v>91.283073425292969</v>
      </c>
      <c r="N103" s="34">
        <v>89.525291442871094</v>
      </c>
      <c r="O103" s="34">
        <v>88.088165283203125</v>
      </c>
      <c r="P103" s="34">
        <v>87.022453308105469</v>
      </c>
      <c r="Q103" s="34">
        <v>86.231040954589844</v>
      </c>
      <c r="R103" s="34">
        <v>85.687995910644531</v>
      </c>
      <c r="S103" s="34">
        <v>85.266693115234375</v>
      </c>
      <c r="T103" s="34">
        <v>85.030960083007813</v>
      </c>
      <c r="U103" s="34">
        <v>84.9603271484375</v>
      </c>
      <c r="V103" s="34">
        <v>85.013969421386719</v>
      </c>
      <c r="W103" s="34">
        <v>85.380043029785156</v>
      </c>
      <c r="X103" s="34"/>
      <c r="Y103" s="34"/>
      <c r="Z103" s="34"/>
    </row>
    <row r="104" spans="1:54" s="5" customFormat="1" ht="12.75" x14ac:dyDescent="0.2">
      <c r="A104" s="26"/>
      <c r="B104" s="26" t="s">
        <v>132</v>
      </c>
      <c r="C104" s="1">
        <v>1.9449599981307983</v>
      </c>
      <c r="D104" s="1">
        <v>2.2273135185241699</v>
      </c>
      <c r="E104" s="1">
        <v>2.3933341503143311</v>
      </c>
      <c r="F104" s="1">
        <v>2.4819738864898682</v>
      </c>
      <c r="G104" s="1">
        <v>2.5283956527709961</v>
      </c>
      <c r="H104" s="1">
        <v>2.6361241340637207</v>
      </c>
      <c r="I104" s="1">
        <v>2.7338643074035645</v>
      </c>
      <c r="J104" s="1">
        <v>2.8287622928619385</v>
      </c>
      <c r="K104" s="1">
        <v>2.9198408126831055</v>
      </c>
      <c r="L104" s="1">
        <v>3.0130660533905029</v>
      </c>
      <c r="M104" s="1">
        <v>3.1098394393920898</v>
      </c>
      <c r="N104" s="1">
        <v>3.2099072933197021</v>
      </c>
      <c r="O104" s="1">
        <v>3.3133976459503174</v>
      </c>
      <c r="P104" s="1">
        <v>3.4055116176605225</v>
      </c>
      <c r="Q104" s="1">
        <v>3.4884121417999268</v>
      </c>
      <c r="R104" s="1">
        <v>3.5623536109924316</v>
      </c>
      <c r="S104" s="1">
        <v>3.627666711807251</v>
      </c>
      <c r="T104" s="1">
        <v>3.6847770214080811</v>
      </c>
      <c r="U104" s="99">
        <v>3.7342143058776855</v>
      </c>
      <c r="V104" s="99">
        <v>3.776522159576416</v>
      </c>
      <c r="W104" s="99">
        <v>3.8121891021728516</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116.84076690673828</v>
      </c>
      <c r="D108" s="34">
        <v>111.61799621582031</v>
      </c>
      <c r="E108" s="34">
        <v>107.65208435058594</v>
      </c>
      <c r="F108" s="34">
        <v>105.50792694091797</v>
      </c>
      <c r="G108" s="34">
        <v>104.90052032470703</v>
      </c>
      <c r="H108" s="34">
        <v>103.93359375</v>
      </c>
      <c r="I108" s="34">
        <v>102.76080322265625</v>
      </c>
      <c r="J108" s="34">
        <v>101.22218322753906</v>
      </c>
      <c r="K108" s="34">
        <v>99.339599609375</v>
      </c>
      <c r="L108" s="34">
        <v>97.119529724121094</v>
      </c>
      <c r="M108" s="34">
        <v>94.566413879394531</v>
      </c>
      <c r="N108" s="34">
        <v>91.814971923828125</v>
      </c>
      <c r="O108" s="34">
        <v>89.648452758789063</v>
      </c>
      <c r="P108" s="34">
        <v>88.029678344726563</v>
      </c>
      <c r="Q108" s="34">
        <v>86.660789489746094</v>
      </c>
      <c r="R108" s="34">
        <v>85.515754699707031</v>
      </c>
      <c r="S108" s="34">
        <v>84.524322509765625</v>
      </c>
      <c r="T108" s="34">
        <v>83.717758178710938</v>
      </c>
      <c r="U108" s="34">
        <v>83.076469421386719</v>
      </c>
      <c r="V108" s="34">
        <v>82.560783386230469</v>
      </c>
      <c r="W108" s="34">
        <v>82.355255126953125</v>
      </c>
      <c r="X108" s="34"/>
      <c r="Y108" s="34"/>
      <c r="Z108" s="34"/>
    </row>
    <row r="109" spans="1:54" x14ac:dyDescent="0.2">
      <c r="B109" s="26" t="s">
        <v>132</v>
      </c>
      <c r="C109" s="1">
        <v>1.9449599981307983</v>
      </c>
      <c r="D109" s="1">
        <v>2.2273135185241699</v>
      </c>
      <c r="E109" s="1">
        <v>2.3933341503143311</v>
      </c>
      <c r="F109" s="1">
        <v>2.4819738864898682</v>
      </c>
      <c r="G109" s="1">
        <v>2.5283956527709961</v>
      </c>
      <c r="H109" s="1">
        <v>2.637753963470459</v>
      </c>
      <c r="I109" s="1">
        <v>2.7390584945678711</v>
      </c>
      <c r="J109" s="1">
        <v>2.8397426605224609</v>
      </c>
      <c r="K109" s="1">
        <v>2.9391319751739502</v>
      </c>
      <c r="L109" s="1">
        <v>3.0367598533630371</v>
      </c>
      <c r="M109" s="1">
        <v>3.1322636604309082</v>
      </c>
      <c r="N109" s="1">
        <v>3.2253100872039795</v>
      </c>
      <c r="O109" s="1">
        <v>3.3219554424285889</v>
      </c>
      <c r="P109" s="1">
        <v>3.4090719223022461</v>
      </c>
      <c r="Q109" s="1">
        <v>3.4876151084899902</v>
      </c>
      <c r="R109" s="1">
        <v>3.5578701496124268</v>
      </c>
      <c r="S109" s="1">
        <v>3.6201672554016113</v>
      </c>
      <c r="T109" s="1">
        <v>3.6750352382659912</v>
      </c>
      <c r="U109" s="1">
        <v>3.7229163646697998</v>
      </c>
      <c r="V109" s="1">
        <v>3.7642631530761719</v>
      </c>
      <c r="W109" s="1">
        <v>3.7994682788848877</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ES</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-2.1969370000000001</v>
      </c>
      <c r="D12" s="2">
        <f>'Input data'!D13</f>
        <v>-2.3947409999999998</v>
      </c>
      <c r="E12" s="2">
        <f>'Input data'!E13</f>
        <v>-1.6308560000000001</v>
      </c>
      <c r="F12" s="2">
        <f>'Input data'!F13</f>
        <v>-0.84895830000000005</v>
      </c>
      <c r="G12" s="3">
        <f>'Adjust. no safeguard'!G12</f>
        <v>1.1041699999999932E-2</v>
      </c>
      <c r="H12" s="3">
        <f>'Adjust. no safeguard'!H12</f>
        <v>0.87104169999999992</v>
      </c>
      <c r="I12" s="3">
        <f>'Adjust. no safeguard'!I12</f>
        <v>1.7310417</v>
      </c>
      <c r="J12" s="3">
        <f>'Adjust. no safeguard'!J12</f>
        <v>2.5910416999999999</v>
      </c>
      <c r="K12" s="119">
        <f>'Adjust. no safeguard'!K12</f>
        <v>2.5910416999999999</v>
      </c>
      <c r="L12" s="119">
        <f>'Adjust. no safeguard'!L12</f>
        <v>2.5910416999999999</v>
      </c>
      <c r="M12" s="119">
        <f>'Adjust. no safeguard'!M12</f>
        <v>2.5910416999999999</v>
      </c>
      <c r="N12" s="119">
        <f>IF(N10&lt;=$C$6,M12+'Criteria results'!$F$6,M12)</f>
        <v>2.5910416999999999</v>
      </c>
      <c r="O12" s="119">
        <f>IF(O10&lt;=$C$6,N12+'Criteria results'!$F$6,N12)</f>
        <v>2.5910416999999999</v>
      </c>
      <c r="P12" s="119">
        <f>IF(P10&lt;=$C$6,O12+'Criteria results'!$F$6,O12)</f>
        <v>2.5910416999999999</v>
      </c>
      <c r="Q12" s="119">
        <f>IF(Q10&lt;=$C$6,P12+'Criteria results'!$F$6,P12)</f>
        <v>2.5910416999999999</v>
      </c>
      <c r="R12" s="119">
        <f>IF(R10&lt;=$C$6,Q12+'Criteria results'!$F$6,Q12)</f>
        <v>2.5910416999999999</v>
      </c>
      <c r="S12" s="119">
        <f>IF(S10&lt;=$C$6,R12+'Criteria results'!$F$6,R12)</f>
        <v>2.5910416999999999</v>
      </c>
      <c r="T12" s="119">
        <f>IF(T10&lt;=$C$6,S12+'Criteria results'!$F$6,S12)</f>
        <v>2.5910416999999999</v>
      </c>
      <c r="U12" s="119">
        <f>IF(U10&lt;=$C$6,T12+'Criteria results'!$F$6,T12)</f>
        <v>2.5910416999999999</v>
      </c>
      <c r="V12" s="119">
        <f>IF(V10&lt;=$C$6,U12+'Criteria results'!$F$6,U12)</f>
        <v>2.5910416999999999</v>
      </c>
      <c r="W12" s="119">
        <f>IF(W10&lt;=$C$6,V12+'Criteria results'!$F$6,V12)</f>
        <v>2.5910416999999999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-9.2449400000000001E-2</v>
      </c>
      <c r="D13" s="2">
        <f>'Input data'!D14</f>
        <v>-6.6846100000000006E-2</v>
      </c>
      <c r="E13" s="2">
        <f>'Input data'!E14</f>
        <v>0</v>
      </c>
      <c r="F13" s="2">
        <f>'Input data'!F14</f>
        <v>-0.18809000000000001</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1.03254E-2</v>
      </c>
      <c r="D14" s="2">
        <f>'Input data'!D15</f>
        <v>0.81181420000000004</v>
      </c>
      <c r="E14" s="2">
        <f>'Input data'!E15</f>
        <v>1.217482</v>
      </c>
      <c r="F14" s="2">
        <f>'Input data'!F15</f>
        <v>0.45447080000000001</v>
      </c>
      <c r="G14" s="2">
        <f>'Input data'!G15</f>
        <v>0.94</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22.788010000000003</v>
      </c>
      <c r="E17" s="101">
        <f>'Input data'!E20</f>
        <v>23.134040000000002</v>
      </c>
      <c r="F17" s="101">
        <f>'Input data'!F20</f>
        <v>23.198610000000002</v>
      </c>
      <c r="G17" s="101">
        <f>'Input data'!G20</f>
        <v>23.248739999999998</v>
      </c>
      <c r="H17" s="101">
        <f>'Input data'!H20</f>
        <v>23.324060000000006</v>
      </c>
      <c r="I17" s="101">
        <f>'Input data'!I20</f>
        <v>23.427720000000001</v>
      </c>
      <c r="J17" s="101">
        <f>'Input data'!J20</f>
        <v>23.512549999999997</v>
      </c>
      <c r="K17" s="101">
        <f>'Input data'!K20</f>
        <v>23.64058</v>
      </c>
      <c r="L17" s="101">
        <f>'Input data'!L20</f>
        <v>23.807760000000002</v>
      </c>
      <c r="M17" s="101">
        <f>'Input data'!M20</f>
        <v>24.019580000000001</v>
      </c>
      <c r="N17" s="101">
        <f>'Input data'!N20</f>
        <v>24.259330000000002</v>
      </c>
      <c r="O17" s="101">
        <f>'Input data'!O20</f>
        <v>24.501700000000003</v>
      </c>
      <c r="P17" s="101">
        <f>'Input data'!P20</f>
        <v>24.736699999999999</v>
      </c>
      <c r="Q17" s="101">
        <f>'Input data'!Q20</f>
        <v>24.956709999999998</v>
      </c>
      <c r="R17" s="101">
        <f>'Input data'!R20</f>
        <v>25.159790000000001</v>
      </c>
      <c r="S17" s="101">
        <f>'Input data'!S20</f>
        <v>25.349450000000001</v>
      </c>
      <c r="T17" s="101">
        <f>'Input data'!T20</f>
        <v>25.535530000000001</v>
      </c>
      <c r="U17" s="101">
        <f>'Input data'!U20</f>
        <v>25.718830000000001</v>
      </c>
      <c r="V17" s="101">
        <f>'Input data'!V20</f>
        <v>25.881730000000001</v>
      </c>
      <c r="W17" s="101">
        <f>'Input data'!W20</f>
        <v>26.077779999999997</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0.55616920000000003</v>
      </c>
      <c r="D18" s="101">
        <f>'Input data'!D26</f>
        <v>0.54702360000000005</v>
      </c>
      <c r="E18" s="101">
        <f>'Input data'!E26</f>
        <v>0.54794100000000001</v>
      </c>
      <c r="F18" s="101">
        <f>'Input data'!F26</f>
        <v>0.54885830000000002</v>
      </c>
      <c r="G18" s="101">
        <f>'Input data'!G26</f>
        <v>0.54977569999999998</v>
      </c>
      <c r="H18" s="101">
        <f>'Input data'!H26</f>
        <v>0.55069310000000005</v>
      </c>
      <c r="I18" s="101">
        <f>'Input data'!I26</f>
        <v>0.5516105</v>
      </c>
      <c r="J18" s="101">
        <f>'Input data'!J26</f>
        <v>0.55252780000000001</v>
      </c>
      <c r="K18" s="101">
        <f>'Input data'!K26</f>
        <v>0.55344519999999997</v>
      </c>
      <c r="L18" s="101">
        <f>'Input data'!L26</f>
        <v>0.55436260000000004</v>
      </c>
      <c r="M18" s="101">
        <f>'Input data'!M26</f>
        <v>0.55528</v>
      </c>
      <c r="N18" s="101">
        <f>'Input data'!N26</f>
        <v>0.55619730000000001</v>
      </c>
      <c r="O18" s="101">
        <f>'Input data'!O26</f>
        <v>0.55711469999999996</v>
      </c>
      <c r="P18" s="101">
        <f>'Input data'!P26</f>
        <v>0.55803210000000003</v>
      </c>
      <c r="Q18" s="101">
        <f>'Input data'!Q26</f>
        <v>0.55894949999999999</v>
      </c>
      <c r="R18" s="101">
        <f>'Input data'!R26</f>
        <v>0.5598668</v>
      </c>
      <c r="S18" s="101">
        <f>'Input data'!S26</f>
        <v>0.56078419999999995</v>
      </c>
      <c r="T18" s="101">
        <f>'Input data'!T26</f>
        <v>0.56170160000000002</v>
      </c>
      <c r="U18" s="101">
        <f>'Input data'!U26</f>
        <v>0.56261899999999998</v>
      </c>
      <c r="V18" s="101">
        <f>'Input data'!V26</f>
        <v>0.56353629999999999</v>
      </c>
      <c r="W18" s="101">
        <f>'Input data'!W26</f>
        <v>0.56445369999999995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1127.8630000000001</v>
      </c>
      <c r="D22" s="100">
        <f>IF(AND(D50&gt;1,C50&gt;1),IF(AND(D50&gt;0,C50&gt;0),D27*(D51/100+1),0)+IF(D50&gt;0,C22*(1+D52/100),0)-C22*(1+'Input data'!D30/100),IF(D50=1,D27,C22*(1+D52/100)))</f>
        <v>1192.94800365224</v>
      </c>
      <c r="E22" s="100">
        <f>IF(AND(E50&gt;1,D50&gt;1),IF(AND(E50&gt;0,D50&gt;0),E27*(E51/100+1),0)+IF(E50&gt;0,D22*(1+E52/100),0)-D22*(1+'Input data'!E30/100),IF(E50=1,E27,D22*(1+E52/100)))</f>
        <v>1222.8109994507863</v>
      </c>
      <c r="F22" s="100">
        <f>IF(AND(F50&gt;1,E50&gt;1),IF(AND(F50&gt;0,E50&gt;0),F27*(F51/100+1),0)+IF(F50&gt;0,E22*(1+F52/100),0)-E22*(1+'Input data'!F30/100),IF(F50=1,F27,E22*(1+F52/100)))</f>
        <v>1249.0368348338773</v>
      </c>
      <c r="G22" s="34">
        <f>IF(AND(G50&gt;1,F50&gt;1),IF(AND(G50&gt;0,F50&gt;0),G27*(G51/100+1),0)+IF(G50&gt;0,F22*(1+G52/100),0)-F22*(1+'Input data'!G30/100),IF(G50=1,G27,F22*(1+G52/100)))</f>
        <v>1266.3000102451149</v>
      </c>
      <c r="H22" s="34">
        <f>IF(AND(H50&gt;1,G50&gt;1),IF(AND(H50&gt;0,G50&gt;0),H27*(H51/100+1),0)+IF(H50&gt;0,G22*(1+H52/100),0)-G22*(1+'Input data'!H30/100),IF(H50=1,H27,G22*(1+H52/100)))</f>
        <v>1276.9926754143514</v>
      </c>
      <c r="I22" s="34">
        <f>IF(AND(I50&gt;1,H50&gt;1),IF(AND(I50&gt;0,H50&gt;0),I27*(I51/100+1),0)+IF(I50&gt;0,H22*(1+I52/100),0)-H22*(1+'Input data'!I30/100),IF(I50=1,I27,H22*(1+I52/100)))</f>
        <v>1288.7789121456826</v>
      </c>
      <c r="J22" s="34">
        <f>IF(AND(J50&gt;1,I50&gt;1),IF(AND(J50&gt;0,I50&gt;0),J27*(J51/100+1),0)+IF(J50&gt;0,I22*(1+J52/100),0)-I22*(1+'Input data'!J30/100),IF(J50=1,J27,I22*(1+J52/100)))</f>
        <v>1302.4786109935392</v>
      </c>
      <c r="K22" s="4">
        <f>IF(AND(K50&gt;1,J50&gt;1),IF(AND(K50&gt;0,J50&gt;0),K27*(K51/100+1),0)+IF(K50&gt;0,J22*(1+K52/100),0)-J22*(1+'Adverse (r-g)'!K24/100),IF(K50=1,K27,J22*(1+K52/100)))</f>
        <v>1318.8986515630843</v>
      </c>
      <c r="L22" s="4">
        <f>IF(AND(L50&gt;1,K50&gt;1),IF(AND(L50&gt;0,K50&gt;0),L27*(L51/100+1),0)+IF(L50&gt;0,K22*(1+L52/100),0)-K22*(1+'Adverse (r-g)'!L24/100),IF(L50=1,L27,K22*(1+L52/100)))</f>
        <v>1334.5470167563785</v>
      </c>
      <c r="M22" s="4">
        <f>IF(AND(M50&gt;1,L50&gt;1),IF(AND(M50&gt;0,L50&gt;0),M27*(M51/100+1),0)+IF(M50&gt;0,L22*(1+M52/100),0)-L22*(1+'Adverse (r-g)'!M24/100),IF(M50=1,M27,L22*(1+M52/100)))</f>
        <v>1349.2273586111635</v>
      </c>
      <c r="N22" s="4">
        <f>IF(AND(N50&gt;1,M50&gt;1),IF(AND(N50&gt;0,M50&gt;0),N27*(N51/100+1),0)+IF(N50&gt;0,M22*(1+N52/100),0)-M22*(1+'Adverse (r-g)'!N24/100),IF(N50=1,N27,M22*(1+N52/100)))</f>
        <v>1357.2556796553811</v>
      </c>
      <c r="O22" s="4">
        <f>IF(AND(O50&gt;1,N50&gt;1),IF(AND(O50&gt;0,N50&gt;0),O27*(O51/100+1),0)+IF(O50&gt;0,N22*(1+O52/100),0)-N22*(1+'Adverse (r-g)'!O24/100),IF(O50=1,O27,N22*(1+O52/100)))</f>
        <v>1364.5376956906523</v>
      </c>
      <c r="P22" s="4">
        <f>IF(AND(P50&gt;1,O50&gt;1),IF(AND(P50&gt;0,O50&gt;0),P27*(P51/100+1),0)+IF(P50&gt;0,O22*(1+P52/100),0)-O22*(1+'Adverse (r-g)'!P24/100),IF(P50=1,P27,O22*(1+P52/100)))</f>
        <v>1372.4945196748788</v>
      </c>
      <c r="Q22" s="4">
        <f>IF(AND(Q50&gt;1,P50&gt;1),IF(AND(Q50&gt;0,P50&gt;0),Q27*(Q51/100+1),0)+IF(Q50&gt;0,P22*(1+Q52/100),0)-P22*(1+'Adverse (r-g)'!Q24/100),IF(Q50=1,Q27,P22*(1+Q52/100)))</f>
        <v>1381.1372274648331</v>
      </c>
      <c r="R22" s="4">
        <f>IF(AND(R50&gt;1,Q50&gt;1),IF(AND(R50&gt;0,Q50&gt;0),R27*(R51/100+1),0)+IF(R50&gt;0,Q22*(1+R52/100),0)-Q22*(1+'Adverse (r-g)'!R24/100),IF(R50=1,R27,Q22*(1+R52/100)))</f>
        <v>1390.4778861569223</v>
      </c>
      <c r="S22" s="4">
        <f>IF(AND(S50&gt;1,R50&gt;1),IF(AND(S50&gt;0,R50&gt;0),S27*(S51/100+1),0)+IF(S50&gt;0,R22*(1+S52/100),0)-R22*(1+'Adverse (r-g)'!S24/100),IF(S50=1,S27,R22*(1+S52/100)))</f>
        <v>1402.2593496672143</v>
      </c>
      <c r="T22" s="4">
        <f>IF(AND(T50&gt;1,S50&gt;1),IF(AND(T50&gt;0,S50&gt;0),T27*(T51/100+1),0)+IF(T50&gt;0,S22*(1+T52/100),0)-S22*(1+'Adverse (r-g)'!T24/100),IF(T50=1,T27,S22*(1+T52/100)))</f>
        <v>1415.3120564620956</v>
      </c>
      <c r="U22" s="4">
        <f>IF(AND(U50&gt;1,T50&gt;1),IF(AND(U50&gt;0,T50&gt;0),U27*(U51/100+1),0)+IF(U50&gt;0,T22*(1+U52/100),0)-T22*(1+'Adverse (r-g)'!U24/100),IF(U50=1,U27,T22*(1+U52/100)))</f>
        <v>1429.8566240352927</v>
      </c>
      <c r="V22" s="4">
        <f>IF(AND(V50&gt;1,U50&gt;1),IF(AND(V50&gt;0,U50&gt;0),V27*(V51/100+1),0)+IF(V50&gt;0,U22*(1+V52/100),0)-U22*(1+'Adverse (r-g)'!V24/100),IF(V50=1,V27,U22*(1+V52/100)))</f>
        <v>1446.1818690545533</v>
      </c>
      <c r="W22" s="4">
        <f>IF(AND(W50&gt;1,V50&gt;1),IF(AND(W50&gt;0,V50&gt;0),W27*(W51/100+1),0)+IF(W50&gt;0,V22*(1+W52/100),0)-V22*(1+'Adverse (r-g)'!W24/100),IF(W50=1,W27,V22*(1+W52/100)))</f>
        <v>1461.5594390282217</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6.4031729999999998</v>
      </c>
      <c r="D23" s="100">
        <f>100*(D22/C22-1)</f>
        <v>5.7706480000000004</v>
      </c>
      <c r="E23" s="100">
        <f t="shared" ref="E23:T23" si="0">100*(E22/D22-1)</f>
        <v>2.5032940000000004</v>
      </c>
      <c r="F23" s="100">
        <f t="shared" si="0"/>
        <v>2.1447170000000071</v>
      </c>
      <c r="G23" s="34">
        <f t="shared" si="0"/>
        <v>1.3821190000000039</v>
      </c>
      <c r="H23" s="34">
        <f t="shared" si="0"/>
        <v>0.84440220190526993</v>
      </c>
      <c r="I23" s="34">
        <f t="shared" si="0"/>
        <v>0.92296823296240671</v>
      </c>
      <c r="J23" s="34">
        <f t="shared" si="0"/>
        <v>1.062998371462176</v>
      </c>
      <c r="K23" s="4">
        <f>100*(K22/J22-1)</f>
        <v>1.2606764081154243</v>
      </c>
      <c r="L23" s="4">
        <f>100*(L22/K22-1)</f>
        <v>1.1864721504377007</v>
      </c>
      <c r="M23" s="4">
        <f t="shared" si="0"/>
        <v>1.1000243281398703</v>
      </c>
      <c r="N23" s="4">
        <f t="shared" si="0"/>
        <v>0.59503100000000142</v>
      </c>
      <c r="O23" s="4">
        <f t="shared" si="0"/>
        <v>0.53652500000000991</v>
      </c>
      <c r="P23" s="4">
        <f t="shared" si="0"/>
        <v>0.58311499999998961</v>
      </c>
      <c r="Q23" s="4">
        <f t="shared" si="0"/>
        <v>0.62970799999999549</v>
      </c>
      <c r="R23" s="4">
        <f t="shared" si="0"/>
        <v>0.6763019999999953</v>
      </c>
      <c r="S23" s="4">
        <f t="shared" si="0"/>
        <v>0.84729599999999738</v>
      </c>
      <c r="T23" s="4">
        <f t="shared" si="0"/>
        <v>0.9308340000000026</v>
      </c>
      <c r="U23" s="4">
        <f t="shared" ref="U23" si="1">100*(U22/T22-1)</f>
        <v>1.027657999999998</v>
      </c>
      <c r="V23" s="4">
        <f t="shared" ref="V23" si="2">100*(V22/U22-1)</f>
        <v>1.1417400000000022</v>
      </c>
      <c r="W23" s="4">
        <f t="shared" ref="W23" si="3">100*(W22/V22-1)</f>
        <v>1.063322000000011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0.84169500000000008</v>
      </c>
      <c r="L24" s="4">
        <f>IF('Criteria results'!$F$5=4,'Input data'!L30-0.5,'Input data'!L30)</f>
        <v>0.76951999999999998</v>
      </c>
      <c r="M24" s="4">
        <f>IF('Criteria results'!$F$5=4,'Input data'!M30-0.5,'Input data'!M30)</f>
        <v>0.68513599999999997</v>
      </c>
      <c r="N24" s="4">
        <f>'Input data'!N30-0.5</f>
        <v>0.59503100000000009</v>
      </c>
      <c r="O24" s="4">
        <f>'Input data'!O30-0.5</f>
        <v>0.53652499999999992</v>
      </c>
      <c r="P24" s="4">
        <f>'Input data'!P30-0.5</f>
        <v>0.58311500000000005</v>
      </c>
      <c r="Q24" s="4">
        <f>'Input data'!Q30-0.5</f>
        <v>0.62970799999999993</v>
      </c>
      <c r="R24" s="4">
        <f>'Input data'!R30-0.5</f>
        <v>0.67630199999999996</v>
      </c>
      <c r="S24" s="4">
        <f>'Input data'!S30-0.5</f>
        <v>0.84729600000000005</v>
      </c>
      <c r="T24" s="4">
        <f>'Input data'!T30-0.5</f>
        <v>0.93083399999999994</v>
      </c>
      <c r="U24" s="4">
        <f>'Input data'!U30-0.5</f>
        <v>1.027658</v>
      </c>
      <c r="V24" s="4">
        <f>'Input data'!V30-0.5</f>
        <v>1.14174</v>
      </c>
      <c r="W24" s="4">
        <f>'Input data'!W30-0.5</f>
        <v>1.0633220000000001</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1173.0429999999999</v>
      </c>
      <c r="D27" s="100">
        <f>+C27*(1+'Input data'!D33/100)</f>
        <v>1191.1868783764799</v>
      </c>
      <c r="E27" s="100">
        <f>+D27*(1+'Input data'!E33/100)</f>
        <v>1213.5621207880349</v>
      </c>
      <c r="F27" s="100">
        <f>+E27*(1+'Input data'!F33/100)</f>
        <v>1236.8449775345198</v>
      </c>
      <c r="G27" s="34">
        <f>+F27*(1+'Input data'!G33/100)</f>
        <v>1261.8457332242676</v>
      </c>
      <c r="H27" s="34">
        <f>+G27*(1+'Input data'!H33/100)</f>
        <v>1282.1430265814731</v>
      </c>
      <c r="I27" s="34">
        <f>+H27*(1+'Input data'!I33/100)</f>
        <v>1300.4982374357346</v>
      </c>
      <c r="J27" s="34">
        <f>+I27*(1+'Input data'!J33/100)</f>
        <v>1318.7135489535367</v>
      </c>
      <c r="K27" s="4">
        <f>IF('Criteria results'!$F$5=4,J27*(1+'Input data'!K33/100-0.005),J27*(1+'Input data'!K33/100))</f>
        <v>1329.8130422108593</v>
      </c>
      <c r="L27" s="4">
        <f>IF('Criteria results'!$F$5=4,K27*(1+'Input data'!L33/100-0.005),K27*(1+'Input data'!L33/100))</f>
        <v>1340.0462062351501</v>
      </c>
      <c r="M27" s="4">
        <f>IF('Criteria results'!$F$5=4,L27*(1+'Input data'!M33/100-0.005),L27*(1+'Input data'!M33/100))</f>
        <v>1349.2273586111635</v>
      </c>
      <c r="N27" s="4">
        <f>+M27*(1+'Input data'!N33/100-0.005)</f>
        <v>1357.2556931476549</v>
      </c>
      <c r="O27" s="4">
        <f>+N27*(1+'Input data'!O33/100-0.005)</f>
        <v>1364.5376821102016</v>
      </c>
      <c r="P27" s="4">
        <f>+O27*(1+'Input data'!P33/100-0.005)</f>
        <v>1372.4945196606154</v>
      </c>
      <c r="Q27" s="4">
        <f>+P27*(1+'Input data'!Q33/100-0.005)</f>
        <v>1381.1372274504802</v>
      </c>
      <c r="R27" s="4">
        <f>+Q27*(1+'Input data'!R33/100-0.005)</f>
        <v>1390.4778723311001</v>
      </c>
      <c r="S27" s="4">
        <f>+R27*(1+'Input data'!S33/100-0.005)</f>
        <v>1402.2593218194679</v>
      </c>
      <c r="T27" s="4">
        <f>+S27*(1+'Input data'!T33/100-0.005)</f>
        <v>1415.3120564003195</v>
      </c>
      <c r="U27" s="4">
        <f>+T27*(1+'Input data'!U33/100-0.005)</f>
        <v>1429.8565815135205</v>
      </c>
      <c r="V27" s="4">
        <f>+U27*(1+'Input data'!V33/100-0.005)</f>
        <v>1446.1818117487273</v>
      </c>
      <c r="W27" s="4">
        <f>+V27*(1+'Input data'!W33/100-0.005)</f>
        <v>1461.5594389603227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-3.851521214482323</v>
      </c>
      <c r="D30" s="100">
        <f t="shared" si="4"/>
        <v>0.14784626222212882</v>
      </c>
      <c r="E30" s="100">
        <f t="shared" si="4"/>
        <v>0.76212651205243009</v>
      </c>
      <c r="F30" s="100">
        <f t="shared" si="4"/>
        <v>0.9857223436085194</v>
      </c>
      <c r="G30" s="34">
        <f t="shared" si="4"/>
        <v>0.35299695545711884</v>
      </c>
      <c r="H30" s="34">
        <f t="shared" si="4"/>
        <v>-0.40169864518577736</v>
      </c>
      <c r="I30" s="34">
        <f t="shared" si="4"/>
        <v>-0.90114118979196522</v>
      </c>
      <c r="J30" s="34">
        <f t="shared" si="4"/>
        <v>-1.2311193718211766</v>
      </c>
      <c r="K30" s="34">
        <f t="shared" si="4"/>
        <v>-0.82074624788078809</v>
      </c>
      <c r="L30" s="34">
        <f t="shared" si="4"/>
        <v>-0.41037312394036629</v>
      </c>
      <c r="M30" s="34">
        <f t="shared" si="4"/>
        <v>0</v>
      </c>
      <c r="N30" s="34">
        <f t="shared" si="4"/>
        <v>-9.9408489218077989E-7</v>
      </c>
      <c r="O30" s="34">
        <f t="shared" si="4"/>
        <v>9.952418889014325E-7</v>
      </c>
      <c r="P30" s="34">
        <f t="shared" si="4"/>
        <v>1.039235364430624E-9</v>
      </c>
      <c r="Q30" s="34">
        <f t="shared" si="4"/>
        <v>1.0392131599701315E-9</v>
      </c>
      <c r="R30" s="34">
        <f t="shared" si="4"/>
        <v>9.9432162503632071E-7</v>
      </c>
      <c r="S30" s="34">
        <f t="shared" si="4"/>
        <v>1.9859198729932359E-6</v>
      </c>
      <c r="T30" s="34">
        <f t="shared" si="4"/>
        <v>4.3648418213138029E-9</v>
      </c>
      <c r="U30" s="34">
        <f t="shared" si="4"/>
        <v>2.9738487672403835E-6</v>
      </c>
      <c r="V30" s="34">
        <f t="shared" si="4"/>
        <v>3.9625602799020498E-6</v>
      </c>
      <c r="W30" s="34">
        <f t="shared" si="4"/>
        <v>4.64566163316249E-9</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9.2295881492239893</v>
      </c>
      <c r="D33" s="2">
        <f t="shared" si="5"/>
        <v>10.152003533114161</v>
      </c>
      <c r="E33" s="2">
        <f t="shared" si="5"/>
        <v>8.5794699112708308</v>
      </c>
      <c r="F33" s="2">
        <f t="shared" si="5"/>
        <v>5.4673252982514908</v>
      </c>
      <c r="G33" s="1">
        <f t="shared" si="5"/>
        <v>3.7567984562641543</v>
      </c>
      <c r="H33" s="1">
        <f t="shared" si="5"/>
        <v>3.2326676569332857</v>
      </c>
      <c r="I33" s="1">
        <f t="shared" si="5"/>
        <v>3.3392957106716192</v>
      </c>
      <c r="J33" s="1">
        <f t="shared" si="5"/>
        <v>3.5089162150359288</v>
      </c>
      <c r="K33" s="1">
        <f t="shared" si="5"/>
        <v>3.7376674818928368</v>
      </c>
      <c r="L33" s="1">
        <f t="shared" si="5"/>
        <v>3.6879178534733104</v>
      </c>
      <c r="M33" s="1">
        <f t="shared" si="5"/>
        <v>3.6255802773754064</v>
      </c>
      <c r="N33" s="1">
        <f t="shared" si="5"/>
        <v>3.1340880600393639</v>
      </c>
      <c r="O33" s="1">
        <f t="shared" si="5"/>
        <v>3.1002063875000152</v>
      </c>
      <c r="P33" s="1">
        <f t="shared" si="5"/>
        <v>3.1203240758749917</v>
      </c>
      <c r="Q33" s="1">
        <f t="shared" si="5"/>
        <v>3.1404192145999987</v>
      </c>
      <c r="R33" s="1">
        <f t="shared" si="5"/>
        <v>3.160489751849993</v>
      </c>
      <c r="S33" s="1">
        <f t="shared" si="5"/>
        <v>3.3079700223999975</v>
      </c>
      <c r="T33" s="1">
        <f t="shared" si="5"/>
        <v>3.3657903702499992</v>
      </c>
      <c r="U33" s="1">
        <f t="shared" si="5"/>
        <v>3.4371676432999987</v>
      </c>
      <c r="V33" s="1">
        <f t="shared" si="5"/>
        <v>3.5261565204999901</v>
      </c>
      <c r="W33" s="1">
        <f t="shared" si="5"/>
        <v>3.4180974026000177</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1.94496</v>
      </c>
      <c r="D36" s="100">
        <f>'Input data'!D37</f>
        <v>2.2273139999999998</v>
      </c>
      <c r="E36" s="100">
        <f>'Input data'!E37</f>
        <v>2.3933339999999999</v>
      </c>
      <c r="F36" s="100">
        <f>'Input data'!F37</f>
        <v>2.4819740000000001</v>
      </c>
      <c r="G36" s="100">
        <f>'Input data'!G37</f>
        <v>2.5283959999999999</v>
      </c>
      <c r="H36" s="34">
        <f t="shared" ref="H36:W36" si="6">H93</f>
        <v>2.636124678758041</v>
      </c>
      <c r="I36" s="34">
        <f t="shared" si="6"/>
        <v>2.7338648014854905</v>
      </c>
      <c r="J36" s="34">
        <f t="shared" si="6"/>
        <v>2.8287631783892078</v>
      </c>
      <c r="K36" s="34">
        <f>K93</f>
        <v>2.9978879024887894</v>
      </c>
      <c r="L36" s="34">
        <f t="shared" si="6"/>
        <v>3.1307186864757455</v>
      </c>
      <c r="M36" s="34">
        <f t="shared" si="6"/>
        <v>3.2613020118669551</v>
      </c>
      <c r="N36" s="34">
        <f t="shared" si="6"/>
        <v>3.3903546058081186</v>
      </c>
      <c r="O36" s="34">
        <f t="shared" si="6"/>
        <v>3.5217462586431192</v>
      </c>
      <c r="P36" s="34">
        <f t="shared" si="6"/>
        <v>3.6410640152135394</v>
      </c>
      <c r="Q36" s="34">
        <f t="shared" si="6"/>
        <v>3.7496925515533617</v>
      </c>
      <c r="R36" s="34">
        <f t="shared" si="6"/>
        <v>3.8477681826306553</v>
      </c>
      <c r="S36" s="34">
        <f t="shared" si="6"/>
        <v>3.935537793317498</v>
      </c>
      <c r="T36" s="34">
        <f t="shared" si="6"/>
        <v>4.0133873742942621</v>
      </c>
      <c r="U36" s="34">
        <f t="shared" si="6"/>
        <v>4.0818628056170629</v>
      </c>
      <c r="V36" s="34">
        <f t="shared" si="6"/>
        <v>4.1415488041551853</v>
      </c>
      <c r="W36" s="34">
        <f t="shared" si="6"/>
        <v>4.1929709941069602</v>
      </c>
    </row>
    <row r="37" spans="2:51" x14ac:dyDescent="0.2">
      <c r="B37" s="32" t="s">
        <v>94</v>
      </c>
      <c r="C37" s="1"/>
      <c r="D37" s="2">
        <f>'Input data'!D$39</f>
        <v>2.1800000000000002</v>
      </c>
      <c r="E37" s="2">
        <f>'Input data'!E$39</f>
        <v>3.48</v>
      </c>
      <c r="F37" s="166">
        <f>'Input data'!F$39</f>
        <v>3.2930959999999998</v>
      </c>
      <c r="G37" s="166">
        <f>'Input data'!G$39</f>
        <v>3.4118309999999998</v>
      </c>
      <c r="H37" s="1">
        <f>$G$37+('Input data'!$C$52-$G$37)/($O$10-$G$10)*(H10-$G$10)</f>
        <v>3.5264958749999997</v>
      </c>
      <c r="I37" s="1">
        <f>$G$37+('Input data'!$C$52-$G$37)/($O$10-$G$10)*(I10-$G$10)</f>
        <v>3.6411607500000001</v>
      </c>
      <c r="J37" s="1">
        <f>$G$37+('Input data'!$C$52-$G$37)/($O$10-$G$10)*(J10-$G$10)</f>
        <v>3.7558256249999999</v>
      </c>
      <c r="K37" s="4">
        <f>IF('Criteria results'!$F$5=4,$G$37+('Input data'!$C$52-$G$37)/($O$10-$G$10)*(K10-$G$10)+0.5,$G$37+('Input data'!$C$52-$G$37)/($O$10-$G$10)*(K10-$G$10))</f>
        <v>4.3704904999999998</v>
      </c>
      <c r="L37" s="4">
        <f>IF('Criteria results'!$F$5=4,$G$37+('Input data'!$C$52-$G$37)/($O$10-$G$10)*(L10-$G$10)+0.5,$G$37+('Input data'!$C$52-$G$37)/($O$10-$G$10)*(L10-$G$10))</f>
        <v>4.4851553749999997</v>
      </c>
      <c r="M37" s="4">
        <f>IF('Criteria results'!$F$5=4,$G$37+('Input data'!$C$52-$G$37)/($O$10-$G$10)*(M10-$G$10)+0.5,$G$37+('Input data'!$C$52-$G$37)/($O$10-$G$10)*(M10-$G$10))</f>
        <v>4.5998202500000005</v>
      </c>
      <c r="N37" s="3">
        <f>IF('Criteria results'!$F$5=4,$G$37+('Input data'!$C$52-$G$37)/($O$10-$G$10)*(N10-$G$10)+0.5,$G$37+('Input data'!$C$52-$G$37)/($O$10-$G$10)*(N10-$G$10)+0.5)</f>
        <v>4.7144851250000004</v>
      </c>
      <c r="O37" s="3">
        <f>'Input data'!$C$52+0.5</f>
        <v>4.8291500000000003</v>
      </c>
      <c r="P37" s="3">
        <f>'Baseline NFPC'!P36+0.5</f>
        <v>4.8126925000000007</v>
      </c>
      <c r="Q37" s="3">
        <f>'Baseline NFPC'!Q36+0.5</f>
        <v>4.7962350000000002</v>
      </c>
      <c r="R37" s="3">
        <f>'Baseline NFPC'!R36+0.5</f>
        <v>4.7797774999999998</v>
      </c>
      <c r="S37" s="3">
        <f>'Baseline NFPC'!S36+0.5</f>
        <v>4.7633200000000002</v>
      </c>
      <c r="T37" s="3">
        <f>'Baseline NFPC'!T36+0.5</f>
        <v>4.7468625000000007</v>
      </c>
      <c r="U37" s="3">
        <f>'Baseline NFPC'!U36+0.5</f>
        <v>4.7304050000000002</v>
      </c>
      <c r="V37" s="3">
        <f>'Baseline NFPC'!V36+0.5</f>
        <v>4.7139474999999997</v>
      </c>
      <c r="W37" s="3">
        <f>'Baseline NFPC'!W36+0.5</f>
        <v>4.6974900000000002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9.2594570000000001E-2</v>
      </c>
      <c r="D39" s="34">
        <f>'Baseline NFPC'!D38</f>
        <v>6.7370540000000007E-2</v>
      </c>
      <c r="E39" s="34">
        <f>'Baseline NFPC'!E38</f>
        <v>9.4524629999999998E-2</v>
      </c>
      <c r="F39" s="34">
        <f>'Baseline NFPC'!F38</f>
        <v>8.5181549999999995E-2</v>
      </c>
      <c r="G39" s="34">
        <f>'Baseline NFPC'!G38</f>
        <v>8.5454706666666658E-2</v>
      </c>
      <c r="H39" s="34">
        <f>'Baseline NFPC'!H38</f>
        <v>8.5727863333333335E-2</v>
      </c>
      <c r="I39" s="34">
        <f>'Baseline NFPC'!I38</f>
        <v>8.6001019999999997E-2</v>
      </c>
      <c r="J39" s="34">
        <f>'Baseline NFPC'!J38</f>
        <v>8.627417666666666E-2</v>
      </c>
      <c r="K39" s="34">
        <f>'Baseline NFPC'!K38</f>
        <v>8.6547333333333337E-2</v>
      </c>
      <c r="L39" s="34">
        <f>'Baseline NFPC'!L38</f>
        <v>8.682049E-2</v>
      </c>
      <c r="M39" s="34">
        <f>'Baseline NFPC'!M38</f>
        <v>8.7093646666666663E-2</v>
      </c>
      <c r="N39" s="34">
        <f>'Baseline NFPC'!N38</f>
        <v>8.736680333333334E-2</v>
      </c>
      <c r="O39" s="34">
        <f>'Baseline NFPC'!O38</f>
        <v>8.7639960000000003E-2</v>
      </c>
      <c r="P39" s="34">
        <f>'Baseline NFPC'!P38</f>
        <v>8.7639960000000003E-2</v>
      </c>
      <c r="Q39" s="34">
        <f>'Baseline NFPC'!Q38</f>
        <v>8.7639960000000003E-2</v>
      </c>
      <c r="R39" s="34">
        <f>'Baseline NFPC'!R38</f>
        <v>8.7639960000000003E-2</v>
      </c>
      <c r="S39" s="34">
        <f>'Baseline NFPC'!S38</f>
        <v>8.7639960000000003E-2</v>
      </c>
      <c r="T39" s="34">
        <f>'Baseline NFPC'!T38</f>
        <v>8.7639960000000003E-2</v>
      </c>
      <c r="U39" s="34">
        <f>'Baseline NFPC'!U38</f>
        <v>8.7639960000000003E-2</v>
      </c>
      <c r="V39" s="34">
        <f>'Baseline NFPC'!V38</f>
        <v>8.7639960000000003E-2</v>
      </c>
      <c r="W39" s="34">
        <f>'Baseline NFPC'!W38</f>
        <v>8.7639960000000003E-2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2.656326</v>
      </c>
      <c r="D42" s="2">
        <f>'Input data'!D42</f>
        <v>4.1423170000000002</v>
      </c>
      <c r="E42" s="2">
        <f>'Input data'!E42</f>
        <v>5.9277860000000002</v>
      </c>
      <c r="F42" s="2">
        <f>'Input data'!F42</f>
        <v>3.2528440000000001</v>
      </c>
      <c r="G42" s="2">
        <f>'Input data'!G42</f>
        <v>2.3423060000000002</v>
      </c>
      <c r="H42" s="1">
        <f>'Baseline NFPC'!H41</f>
        <v>2.3682677500000002</v>
      </c>
      <c r="I42" s="1">
        <f>'Baseline NFPC'!I41</f>
        <v>2.3942295000000002</v>
      </c>
      <c r="J42" s="1">
        <f>'Baseline NFPC'!J41</f>
        <v>2.4201912500000002</v>
      </c>
      <c r="K42" s="1">
        <f>'Baseline NFPC'!K41</f>
        <v>2.4461529999999998</v>
      </c>
      <c r="L42" s="1">
        <f>'Baseline NFPC'!L41</f>
        <v>2.4721147499999998</v>
      </c>
      <c r="M42" s="1">
        <f>'Baseline NFPC'!M41</f>
        <v>2.4980764999999998</v>
      </c>
      <c r="N42" s="1">
        <f>'Baseline NFPC'!N41</f>
        <v>2.5240382499999998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0.99997000000000003</v>
      </c>
      <c r="D43" s="1">
        <f>'Baseline NFPC'!D42</f>
        <v>0.99999990000000005</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0.59699999999999998</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0.23533130363807922</v>
      </c>
      <c r="I51" s="34">
        <f t="shared" si="7"/>
        <v>-0.26779909679051822</v>
      </c>
      <c r="J51" s="34">
        <f t="shared" si="7"/>
        <v>-0.60076079319464348</v>
      </c>
      <c r="K51" s="34">
        <f t="shared" si="7"/>
        <v>-0.82074624788078432</v>
      </c>
      <c r="L51" s="34">
        <f t="shared" si="7"/>
        <v>-0.41037312394039216</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5.7706480000000004</v>
      </c>
      <c r="E52" s="34">
        <f>'Input data'!E30-$C$47*((E12-D12)-('Input data'!E13-'Input data'!D13))</f>
        <v>2.5032939999999999</v>
      </c>
      <c r="F52" s="34">
        <f>'Input data'!F30-$C$47*((F12-E12)-('Input data'!F13-'Input data'!E13))</f>
        <v>2.144717</v>
      </c>
      <c r="G52" s="34">
        <f>'Input data'!G30-$C$47*((G12-F12))</f>
        <v>1.3821189999999999</v>
      </c>
      <c r="H52" s="34">
        <f>'Input data'!H30-$C$47*((H12-G12))</f>
        <v>0.63103500000000001</v>
      </c>
      <c r="I52" s="34">
        <f>'Input data'!I30-$C$47*((I12-H12))</f>
        <v>0.34257760000000004</v>
      </c>
      <c r="J52" s="34">
        <f>'Input data'!J30-$C$47*((J12-I12))</f>
        <v>0.53271100000000005</v>
      </c>
      <c r="K52" s="4">
        <f>'Adverse (r-g)'!K24-$C$47*(K12-J12)</f>
        <v>0.84169500000000008</v>
      </c>
      <c r="L52" s="4">
        <f>'Adverse (r-g)'!L24-$C$47*(L12-K12)</f>
        <v>0.76951999999999998</v>
      </c>
      <c r="M52" s="4">
        <f>'Adverse (r-g)'!M24-$C$47*(M12-L12)</f>
        <v>0.68513599999999997</v>
      </c>
      <c r="N52" s="4">
        <f>'Adverse (r-g)'!N24-$C$47*((N12-M12))</f>
        <v>0.59503100000000009</v>
      </c>
      <c r="O52" s="4">
        <f>'Adverse (r-g)'!O24-$C$47*((O12-N12))</f>
        <v>0.53652499999999992</v>
      </c>
      <c r="P52" s="4">
        <f>'Adverse (r-g)'!P24-$C$47*((P12-O12))</f>
        <v>0.58311500000000005</v>
      </c>
      <c r="Q52" s="4">
        <f>'Adverse (r-g)'!Q24-$C$47*((Q12-P12))</f>
        <v>0.62970799999999993</v>
      </c>
      <c r="R52" s="4">
        <f>'Adverse (r-g)'!R24-$C$47*((R12-Q12))</f>
        <v>0.67630199999999996</v>
      </c>
      <c r="S52" s="4">
        <f>'Adverse (r-g)'!S24-$C$47*((S12-R12))</f>
        <v>0.84729600000000005</v>
      </c>
      <c r="T52" s="4">
        <f>'Adverse (r-g)'!T24-$C$47*((T12-S12))</f>
        <v>0.93083399999999994</v>
      </c>
      <c r="U52" s="4">
        <f>'Adverse (r-g)'!U24-$C$47*((U12-T12))</f>
        <v>1.027658</v>
      </c>
      <c r="V52" s="4">
        <f>'Adverse (r-g)'!V24-$C$47*((V12-U12))</f>
        <v>1.14174</v>
      </c>
      <c r="W52" s="4">
        <f>'Adverse (r-g)'!W24-$C$47*((W12-V12))</f>
        <v>1.0633220000000001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116.8408</v>
      </c>
      <c r="D57" s="45">
        <f>+C57+D58</f>
        <v>111.62002928145338</v>
      </c>
      <c r="E57" s="45">
        <f>+D57+E58</f>
        <v>107.65412775375809</v>
      </c>
      <c r="F57" s="45">
        <f t="shared" ref="F57:T57" si="8">+E57+F58</f>
        <v>105.50997791462379</v>
      </c>
      <c r="G57" s="45">
        <f t="shared" si="8"/>
        <v>104.97907714628215</v>
      </c>
      <c r="H57" s="45">
        <f t="shared" si="8"/>
        <v>103.74121471198742</v>
      </c>
      <c r="I57" s="45">
        <f t="shared" si="8"/>
        <v>101.9403686820099</v>
      </c>
      <c r="J57" s="45">
        <f t="shared" si="8"/>
        <v>99.414459074779955</v>
      </c>
      <c r="K57" s="45">
        <f t="shared" si="8"/>
        <v>96.731565799407178</v>
      </c>
      <c r="L57" s="45">
        <f t="shared" si="8"/>
        <v>94.159075001442972</v>
      </c>
      <c r="M57" s="45">
        <f t="shared" si="8"/>
        <v>91.741310740030329</v>
      </c>
      <c r="N57" s="45">
        <f t="shared" si="8"/>
        <v>90.121338020652288</v>
      </c>
      <c r="O57" s="46">
        <f t="shared" si="8"/>
        <v>88.883332746648648</v>
      </c>
      <c r="P57" s="46">
        <f t="shared" si="8"/>
        <v>87.959782322469991</v>
      </c>
      <c r="Q57" s="46">
        <f t="shared" si="8"/>
        <v>87.326076869011274</v>
      </c>
      <c r="R57" s="46">
        <f t="shared" si="8"/>
        <v>86.956721579142965</v>
      </c>
      <c r="S57" s="46">
        <f t="shared" si="8"/>
        <v>86.722560685183879</v>
      </c>
      <c r="T57" s="46">
        <f t="shared" si="8"/>
        <v>86.688650689804447</v>
      </c>
      <c r="U57" s="46">
        <f t="shared" ref="U57" si="9">+T57+U58</f>
        <v>86.834102318242046</v>
      </c>
      <c r="V57" s="46">
        <f t="shared" ref="V57" si="10">+U57+V58</f>
        <v>87.117399176058925</v>
      </c>
      <c r="W57" s="46">
        <f t="shared" ref="W57" si="11">+V57+W58</f>
        <v>87.732400055985494</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-5.2207707185466106</v>
      </c>
      <c r="E58" s="47">
        <f>-E59+E67+E72</f>
        <v>-3.9659015276953009</v>
      </c>
      <c r="F58" s="47">
        <f t="shared" ref="F58:T58" si="12">-F59+F67+F72</f>
        <v>-2.1441498391342932</v>
      </c>
      <c r="G58" s="47">
        <f t="shared" si="12"/>
        <v>-0.53090076834164102</v>
      </c>
      <c r="H58" s="47">
        <f t="shared" si="12"/>
        <v>-1.2378624342947238</v>
      </c>
      <c r="I58" s="47">
        <f t="shared" si="12"/>
        <v>-1.8008460299775191</v>
      </c>
      <c r="J58" s="47">
        <f t="shared" si="12"/>
        <v>-2.5259096072299529</v>
      </c>
      <c r="K58" s="47">
        <f t="shared" si="12"/>
        <v>-2.6828932753727841</v>
      </c>
      <c r="L58" s="47">
        <f t="shared" si="12"/>
        <v>-2.5724907979642122</v>
      </c>
      <c r="M58" s="47">
        <f t="shared" si="12"/>
        <v>-2.4177642614126436</v>
      </c>
      <c r="N58" s="47">
        <f t="shared" si="12"/>
        <v>-1.6199727193780435</v>
      </c>
      <c r="O58" s="47">
        <f t="shared" si="12"/>
        <v>-1.2380052740036387</v>
      </c>
      <c r="P58" s="47">
        <f t="shared" si="12"/>
        <v>-0.92355042417865452</v>
      </c>
      <c r="Q58" s="47">
        <f t="shared" si="12"/>
        <v>-0.63370545345871254</v>
      </c>
      <c r="R58" s="47">
        <f t="shared" si="12"/>
        <v>-0.36935528986830635</v>
      </c>
      <c r="S58" s="47">
        <f t="shared" si="12"/>
        <v>-0.23416089395909168</v>
      </c>
      <c r="T58" s="47">
        <f t="shared" si="12"/>
        <v>-3.3909995379427627E-2</v>
      </c>
      <c r="U58" s="47">
        <f t="shared" ref="U58:W58" si="13">-U59+U67+U72</f>
        <v>0.14545162843760351</v>
      </c>
      <c r="V58" s="47">
        <f t="shared" si="13"/>
        <v>0.28329685781687419</v>
      </c>
      <c r="W58" s="47">
        <f t="shared" si="13"/>
        <v>0.61500087992657237</v>
      </c>
    </row>
    <row r="59" spans="2:48" outlineLevel="1" x14ac:dyDescent="0.2">
      <c r="B59" s="84" t="s">
        <v>106</v>
      </c>
      <c r="C59" s="48"/>
      <c r="D59" s="48">
        <f>D60+D61-D62-D63-D64-D65-D66</f>
        <v>-2.3733228814533889</v>
      </c>
      <c r="E59" s="48">
        <f t="shared" ref="E59:T59" si="14">E60+E61-E62-E63-E64-E65-E66</f>
        <v>-1.1758664723046994</v>
      </c>
      <c r="F59" s="48">
        <f t="shared" si="14"/>
        <v>-0.448572060865714</v>
      </c>
      <c r="G59" s="48">
        <f t="shared" si="14"/>
        <v>0.22178088240789987</v>
      </c>
      <c r="H59" s="48">
        <f t="shared" si="14"/>
        <v>0.6312276088240909</v>
      </c>
      <c r="I59" s="48">
        <f t="shared" si="14"/>
        <v>1.1930604096941968</v>
      </c>
      <c r="J59" s="48">
        <f t="shared" si="14"/>
        <v>1.8560634350227576</v>
      </c>
      <c r="K59" s="48">
        <f t="shared" si="14"/>
        <v>1.9739435900151672</v>
      </c>
      <c r="L59" s="48">
        <f t="shared" si="14"/>
        <v>2.0526737450075969</v>
      </c>
      <c r="M59" s="48">
        <f t="shared" si="14"/>
        <v>2.0867638999999958</v>
      </c>
      <c r="N59" s="48">
        <f t="shared" si="14"/>
        <v>1.8479306065313148</v>
      </c>
      <c r="O59" s="48">
        <f t="shared" si="14"/>
        <v>1.6064791941594021</v>
      </c>
      <c r="P59" s="48">
        <f t="shared" si="14"/>
        <v>1.3723960006204221</v>
      </c>
      <c r="Q59" s="48">
        <f t="shared" si="14"/>
        <v>1.1533034006204101</v>
      </c>
      <c r="R59" s="48">
        <f t="shared" si="14"/>
        <v>0.95114129361000632</v>
      </c>
      <c r="S59" s="48">
        <f t="shared" si="14"/>
        <v>0.76239928559416048</v>
      </c>
      <c r="T59" s="48">
        <f t="shared" si="14"/>
        <v>0.57723550260580658</v>
      </c>
      <c r="U59" s="48">
        <f t="shared" ref="U59:W59" si="15">U60+U61-U62-U63-U64-U65-U66</f>
        <v>0.39485467538771091</v>
      </c>
      <c r="V59" s="48">
        <f t="shared" si="15"/>
        <v>0.23287256564848313</v>
      </c>
      <c r="W59" s="48">
        <f t="shared" si="15"/>
        <v>3.7737602773460277E-2</v>
      </c>
    </row>
    <row r="60" spans="2:48" outlineLevel="1" x14ac:dyDescent="0.2">
      <c r="B60" s="79" t="s">
        <v>107</v>
      </c>
      <c r="C60" s="1"/>
      <c r="D60" s="1">
        <f>D12</f>
        <v>-2.3947409999999998</v>
      </c>
      <c r="E60" s="1">
        <f>E12</f>
        <v>-1.6308560000000001</v>
      </c>
      <c r="F60" s="1">
        <f>F12</f>
        <v>-0.84895830000000005</v>
      </c>
      <c r="G60" s="1">
        <f t="shared" ref="G60:W60" si="16">IF(G12="",F60,G12)</f>
        <v>1.1041699999999932E-2</v>
      </c>
      <c r="H60" s="1">
        <f t="shared" si="16"/>
        <v>0.87104169999999992</v>
      </c>
      <c r="I60" s="1">
        <f t="shared" si="16"/>
        <v>1.7310417</v>
      </c>
      <c r="J60" s="1">
        <f t="shared" si="16"/>
        <v>2.5910416999999999</v>
      </c>
      <c r="K60" s="1">
        <f t="shared" si="16"/>
        <v>2.5910416999999999</v>
      </c>
      <c r="L60" s="1">
        <f t="shared" si="16"/>
        <v>2.5910416999999999</v>
      </c>
      <c r="M60" s="1">
        <f t="shared" si="16"/>
        <v>2.5910416999999999</v>
      </c>
      <c r="N60" s="1">
        <f t="shared" si="16"/>
        <v>2.5910416999999999</v>
      </c>
      <c r="O60" s="1">
        <f t="shared" si="16"/>
        <v>2.5910416999999999</v>
      </c>
      <c r="P60" s="1">
        <f t="shared" si="16"/>
        <v>2.5910416999999999</v>
      </c>
      <c r="Q60" s="1">
        <f t="shared" si="16"/>
        <v>2.5910416999999999</v>
      </c>
      <c r="R60" s="1">
        <f t="shared" si="16"/>
        <v>2.5910416999999999</v>
      </c>
      <c r="S60" s="1">
        <f t="shared" si="16"/>
        <v>2.5910416999999999</v>
      </c>
      <c r="T60" s="1">
        <f t="shared" si="16"/>
        <v>2.5910416999999999</v>
      </c>
      <c r="U60" s="1">
        <f t="shared" si="16"/>
        <v>2.5910416999999999</v>
      </c>
      <c r="V60" s="1">
        <f t="shared" si="16"/>
        <v>2.5910416999999999</v>
      </c>
      <c r="W60" s="1">
        <f t="shared" si="16"/>
        <v>2.5910416999999999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-8.8264218546610901E-2</v>
      </c>
      <c r="E62" s="1">
        <f t="shared" si="17"/>
        <v>-0.45498952769530077</v>
      </c>
      <c r="F62" s="1">
        <f t="shared" si="17"/>
        <v>-0.58847623913428604</v>
      </c>
      <c r="G62" s="1">
        <f t="shared" si="17"/>
        <v>-0.21073918240789993</v>
      </c>
      <c r="H62" s="1">
        <f t="shared" si="17"/>
        <v>0.23981409117590907</v>
      </c>
      <c r="I62" s="1">
        <f t="shared" si="17"/>
        <v>0.53798129030580322</v>
      </c>
      <c r="J62" s="1">
        <f t="shared" si="17"/>
        <v>0.73497826497724239</v>
      </c>
      <c r="K62" s="1">
        <f t="shared" si="17"/>
        <v>0.48998550998483048</v>
      </c>
      <c r="L62" s="1">
        <f t="shared" si="17"/>
        <v>0.24499275499239867</v>
      </c>
      <c r="M62" s="1">
        <f t="shared" si="17"/>
        <v>0</v>
      </c>
      <c r="N62" s="1">
        <f t="shared" si="17"/>
        <v>5.9346868063192555E-7</v>
      </c>
      <c r="O62" s="1">
        <f t="shared" si="17"/>
        <v>-5.941594076741552E-7</v>
      </c>
      <c r="P62" s="1">
        <f t="shared" si="17"/>
        <v>-6.2042351256508257E-10</v>
      </c>
      <c r="Q62" s="1">
        <f t="shared" si="17"/>
        <v>-6.204102565021685E-10</v>
      </c>
      <c r="R62" s="1">
        <f t="shared" si="17"/>
        <v>-5.9361001014668346E-7</v>
      </c>
      <c r="S62" s="1">
        <f t="shared" si="17"/>
        <v>-1.1855941641769618E-6</v>
      </c>
      <c r="T62" s="1">
        <f t="shared" si="17"/>
        <v>-2.6058105673243404E-9</v>
      </c>
      <c r="U62" s="1">
        <f t="shared" si="17"/>
        <v>-1.7753877140425089E-6</v>
      </c>
      <c r="V62" s="1">
        <f t="shared" si="17"/>
        <v>-2.3656484871015238E-6</v>
      </c>
      <c r="W62" s="1">
        <f t="shared" si="17"/>
        <v>-2.7734599949980066E-9</v>
      </c>
    </row>
    <row r="63" spans="2:48" outlineLevel="1" x14ac:dyDescent="0.2">
      <c r="B63" s="79" t="s">
        <v>110</v>
      </c>
      <c r="C63" s="1"/>
      <c r="D63" s="1">
        <f t="shared" ref="D63:W63" si="18">-D13</f>
        <v>6.6846100000000006E-2</v>
      </c>
      <c r="E63" s="1">
        <f t="shared" si="18"/>
        <v>0</v>
      </c>
      <c r="F63" s="1">
        <f t="shared" si="18"/>
        <v>0.18809000000000001</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0.12803000000000253</v>
      </c>
      <c r="L64" s="1">
        <f>IF(L$56&lt;=$C$6,0,HLOOKUP(L$56,'Input data'!$C$9:$BB$26,12,FALSE)-HLOOKUP($C$6,'Input data'!$C$9:$BB$26,12,FALSE))</f>
        <v>0.29521000000000441</v>
      </c>
      <c r="M64" s="1">
        <f>IF(M$56&lt;=$C$6,0,HLOOKUP(M$56,'Input data'!$C$9:$BB$26,12,FALSE)-HLOOKUP($C$6,'Input data'!$C$9:$BB$26,12,FALSE))</f>
        <v>0.50703000000000387</v>
      </c>
      <c r="N64" s="1">
        <f>IF(N$56&lt;=$C$6,0,HLOOKUP(N$56,'Input data'!$C$9:$BB$26,12,FALSE)-HLOOKUP($C$6,'Input data'!$C$9:$BB$26,12,FALSE))</f>
        <v>0.74678000000000466</v>
      </c>
      <c r="O64" s="1">
        <f>IF(O$56&lt;=$C$6,0,HLOOKUP(O$56,'Input data'!$C$9:$BB$26,12,FALSE)-HLOOKUP($C$6,'Input data'!$C$9:$BB$26,12,FALSE))</f>
        <v>0.98915000000000575</v>
      </c>
      <c r="P64" s="1">
        <f>IF(P$56&lt;=$C$6,0,HLOOKUP(P$56,'Input data'!$C$9:$BB$26,12,FALSE)-HLOOKUP($C$6,'Input data'!$C$9:$BB$26,12,FALSE))</f>
        <v>1.2241500000000016</v>
      </c>
      <c r="Q64" s="1">
        <f>IF(Q$56&lt;=$C$6,0,HLOOKUP(Q$56,'Input data'!$C$9:$BB$26,12,FALSE)-HLOOKUP($C$6,'Input data'!$C$9:$BB$26,12,FALSE))</f>
        <v>1.4441600000000001</v>
      </c>
      <c r="R64" s="1">
        <f>IF(R$56&lt;=$C$6,0,HLOOKUP(R$56,'Input data'!$C$9:$BB$26,12,FALSE)-HLOOKUP($C$6,'Input data'!$C$9:$BB$26,12,FALSE))</f>
        <v>1.6472400000000036</v>
      </c>
      <c r="S64" s="1">
        <f>IF(S$56&lt;=$C$6,0,HLOOKUP(S$56,'Input data'!$C$9:$BB$26,12,FALSE)-HLOOKUP($C$6,'Input data'!$C$9:$BB$26,12,FALSE))</f>
        <v>1.8369000000000035</v>
      </c>
      <c r="T64" s="1">
        <f>IF(T$56&lt;=$C$6,0,HLOOKUP(T$56,'Input data'!$C$9:$BB$26,12,FALSE)-HLOOKUP($C$6,'Input data'!$C$9:$BB$26,12,FALSE))</f>
        <v>2.022980000000004</v>
      </c>
      <c r="U64" s="1">
        <f>IF(U$56&lt;=$C$6,0,HLOOKUP(U$56,'Input data'!$C$9:$BB$26,12,FALSE)-HLOOKUP($C$6,'Input data'!$C$9:$BB$26,12,FALSE))</f>
        <v>2.2062800000000031</v>
      </c>
      <c r="V64" s="1">
        <f>IF(V$56&lt;=$C$6,0,HLOOKUP(V$56,'Input data'!$C$9:$BB$26,12,FALSE)-HLOOKUP($C$6,'Input data'!$C$9:$BB$26,12,FALSE))</f>
        <v>2.3691800000000036</v>
      </c>
      <c r="W64" s="1">
        <f>IF(W$56&lt;=$C$6,0,HLOOKUP(W$56,'Input data'!$C$9:$BB$26,12,FALSE)-HLOOKUP($C$6,'Input data'!$C$9:$BB$26,12,FALSE))</f>
        <v>2.5652299999999997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-9.1739999999995714E-4</v>
      </c>
      <c r="L65" s="1">
        <f>IF(L$56&lt;=$C$6,0,-HLOOKUP(L$56,'Input data'!$C$9:$BB$26,18,FALSE)+HLOOKUP($C$6,'Input data'!$C$9:$BB$26,18,FALSE))</f>
        <v>-1.8348000000000253E-3</v>
      </c>
      <c r="M65" s="1">
        <f>IF(M$56&lt;=$C$6,0,-HLOOKUP(M$56,'Input data'!$C$9:$BB$26,18,FALSE)+HLOOKUP($C$6,'Input data'!$C$9:$BB$26,18,FALSE))</f>
        <v>-2.7521999999999824E-3</v>
      </c>
      <c r="N65" s="1">
        <f>IF(N$56&lt;=$C$6,0,-HLOOKUP(N$56,'Input data'!$C$9:$BB$26,18,FALSE)+HLOOKUP($C$6,'Input data'!$C$9:$BB$26,18,FALSE))</f>
        <v>-3.6694999999999922E-3</v>
      </c>
      <c r="O65" s="1">
        <f>IF(O$56&lt;=$C$6,0,-HLOOKUP(O$56,'Input data'!$C$9:$BB$26,18,FALSE)+HLOOKUP($C$6,'Input data'!$C$9:$BB$26,18,FALSE))</f>
        <v>-4.5868999999999494E-3</v>
      </c>
      <c r="P65" s="1">
        <f>IF(P$56&lt;=$C$6,0,-HLOOKUP(P$56,'Input data'!$C$9:$BB$26,18,FALSE)+HLOOKUP($C$6,'Input data'!$C$9:$BB$26,18,FALSE))</f>
        <v>-5.5043000000000175E-3</v>
      </c>
      <c r="Q65" s="1">
        <f>IF(Q$56&lt;=$C$6,0,-HLOOKUP(Q$56,'Input data'!$C$9:$BB$26,18,FALSE)+HLOOKUP($C$6,'Input data'!$C$9:$BB$26,18,FALSE))</f>
        <v>-6.4216999999999747E-3</v>
      </c>
      <c r="R65" s="1">
        <f>IF(R$56&lt;=$C$6,0,-HLOOKUP(R$56,'Input data'!$C$9:$BB$26,18,FALSE)+HLOOKUP($C$6,'Input data'!$C$9:$BB$26,18,FALSE))</f>
        <v>-7.3389999999999844E-3</v>
      </c>
      <c r="S65" s="1">
        <f>IF(S$56&lt;=$C$6,0,-HLOOKUP(S$56,'Input data'!$C$9:$BB$26,18,FALSE)+HLOOKUP($C$6,'Input data'!$C$9:$BB$26,18,FALSE))</f>
        <v>-8.2563999999999416E-3</v>
      </c>
      <c r="T65" s="1">
        <f>IF(T$56&lt;=$C$6,0,-HLOOKUP(T$56,'Input data'!$C$9:$BB$26,18,FALSE)+HLOOKUP($C$6,'Input data'!$C$9:$BB$26,18,FALSE))</f>
        <v>-9.1738000000000097E-3</v>
      </c>
      <c r="U65" s="1">
        <f>IF(U$56&lt;=$C$6,0,-HLOOKUP(U$56,'Input data'!$C$9:$BB$26,18,FALSE)+HLOOKUP($C$6,'Input data'!$C$9:$BB$26,18,FALSE))</f>
        <v>-1.0091199999999967E-2</v>
      </c>
      <c r="V65" s="1">
        <f>IF(V$56&lt;=$C$6,0,-HLOOKUP(V$56,'Input data'!$C$9:$BB$26,18,FALSE)+HLOOKUP($C$6,'Input data'!$C$9:$BB$26,18,FALSE))</f>
        <v>-1.1008499999999977E-2</v>
      </c>
      <c r="W65" s="1">
        <f>IF(W$56&lt;=$C$6,0,-HLOOKUP(W$56,'Input data'!$C$9:$BB$26,18,FALSE)+HLOOKUP($C$6,'Input data'!$C$9:$BB$26,18,FALSE))</f>
        <v>-1.1925899999999934E-2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-8.4059019999999993</v>
      </c>
      <c r="E67" s="48">
        <f>SUM(E68:E71)</f>
        <v>-6.3592510000000004</v>
      </c>
      <c r="F67" s="48">
        <f t="shared" si="19"/>
        <v>-3.0471930000000071</v>
      </c>
      <c r="G67" s="48">
        <f t="shared" si="19"/>
        <v>-1.249120885933741</v>
      </c>
      <c r="H67" s="48">
        <f t="shared" si="19"/>
        <v>-0.60663482547063285</v>
      </c>
      <c r="I67" s="48">
        <f t="shared" si="19"/>
        <v>-0.60778562028332228</v>
      </c>
      <c r="J67" s="48">
        <f t="shared" si="19"/>
        <v>-0.66984617220719511</v>
      </c>
      <c r="K67" s="48">
        <f t="shared" si="19"/>
        <v>-0.70894968535761715</v>
      </c>
      <c r="L67" s="48">
        <f t="shared" si="19"/>
        <v>-0.51981705295661507</v>
      </c>
      <c r="M67" s="48">
        <f t="shared" si="19"/>
        <v>-0.33100036141264755</v>
      </c>
      <c r="N67" s="48">
        <f t="shared" si="19"/>
        <v>0.22795788715327125</v>
      </c>
      <c r="O67" s="48">
        <f t="shared" si="19"/>
        <v>0.36847392015576341</v>
      </c>
      <c r="P67" s="48">
        <f t="shared" si="19"/>
        <v>0.44884557644176759</v>
      </c>
      <c r="Q67" s="48">
        <f t="shared" si="19"/>
        <v>0.5195979471616976</v>
      </c>
      <c r="R67" s="48">
        <f t="shared" si="19"/>
        <v>0.58178600374169998</v>
      </c>
      <c r="S67" s="48">
        <f t="shared" si="19"/>
        <v>0.5282383916350688</v>
      </c>
      <c r="T67" s="48">
        <f t="shared" si="19"/>
        <v>0.54332550722637896</v>
      </c>
      <c r="U67" s="48">
        <f t="shared" ref="U67:W67" si="20">SUM(U68:U71)</f>
        <v>0.54030630382531442</v>
      </c>
      <c r="V67" s="48">
        <f t="shared" si="20"/>
        <v>0.51616942346535732</v>
      </c>
      <c r="W67" s="48">
        <f t="shared" si="20"/>
        <v>0.65273848270003265</v>
      </c>
    </row>
    <row r="68" spans="2:23" outlineLevel="1" x14ac:dyDescent="0.2">
      <c r="B68" s="79" t="s">
        <v>115</v>
      </c>
      <c r="C68" s="34"/>
      <c r="D68" s="34">
        <f>C57*D36/100*(1/(1+D33/100))</f>
        <v>2.3625639231606503</v>
      </c>
      <c r="E68" s="34">
        <f>D57*E36/100*(1/(1+E33/100))</f>
        <v>2.4603547187935546</v>
      </c>
      <c r="F68" s="34">
        <f t="shared" ref="F68:W68" si="21">E57*F36/100*(1/(1+F33/100))</f>
        <v>2.5334362592575936</v>
      </c>
      <c r="G68" s="34">
        <f>F57*G36/100*(1/(1+G33/100))</f>
        <v>2.5711183275558871</v>
      </c>
      <c r="H68" s="34">
        <f t="shared" si="21"/>
        <v>2.680720573241647</v>
      </c>
      <c r="I68" s="34">
        <f t="shared" si="21"/>
        <v>2.7444976609721845</v>
      </c>
      <c r="J68" s="34">
        <f t="shared" si="21"/>
        <v>2.7858968276705949</v>
      </c>
      <c r="K68" s="34">
        <f t="shared" si="21"/>
        <v>2.8729526258605222</v>
      </c>
      <c r="L68" s="34">
        <f t="shared" si="21"/>
        <v>2.920680894067329</v>
      </c>
      <c r="M68" s="34">
        <f t="shared" si="21"/>
        <v>2.9633723634238853</v>
      </c>
      <c r="N68" s="34">
        <f t="shared" si="21"/>
        <v>3.0158367738634264</v>
      </c>
      <c r="O68" s="34">
        <f t="shared" si="21"/>
        <v>3.0784078530867438</v>
      </c>
      <c r="P68" s="34">
        <f t="shared" si="21"/>
        <v>3.138371677128843</v>
      </c>
      <c r="Q68" s="34">
        <f t="shared" si="21"/>
        <v>3.197797169357762</v>
      </c>
      <c r="R68" s="34">
        <f t="shared" si="21"/>
        <v>3.2571627073388791</v>
      </c>
      <c r="S68" s="34">
        <f t="shared" si="21"/>
        <v>3.3126337114503497</v>
      </c>
      <c r="T68" s="34">
        <f t="shared" si="21"/>
        <v>3.3671800783768648</v>
      </c>
      <c r="U68" s="34">
        <f t="shared" si="21"/>
        <v>3.4209287336645566</v>
      </c>
      <c r="V68" s="34">
        <f t="shared" si="21"/>
        <v>3.473785608420533</v>
      </c>
      <c r="W68" s="34">
        <f t="shared" si="21"/>
        <v>3.5320774313342689</v>
      </c>
    </row>
    <row r="69" spans="2:23" outlineLevel="1" x14ac:dyDescent="0.2">
      <c r="B69" s="79" t="s">
        <v>116</v>
      </c>
      <c r="C69" s="34"/>
      <c r="D69" s="34">
        <f t="shared" ref="D69:W69" si="22">-C57*(D23/100)*(1/(1+D33/100))</f>
        <v>-6.1210609631417761</v>
      </c>
      <c r="E69" s="34">
        <f>-D57*(E23/100)*(1/(1+E33/100))</f>
        <v>-2.5733939372555579</v>
      </c>
      <c r="F69" s="34">
        <f t="shared" si="22"/>
        <v>-2.1891864353317905</v>
      </c>
      <c r="G69" s="34">
        <f t="shared" si="22"/>
        <v>-1.4054726758637588</v>
      </c>
      <c r="H69" s="34">
        <f t="shared" si="22"/>
        <v>-0.85868713759186022</v>
      </c>
      <c r="I69" s="34">
        <f t="shared" si="22"/>
        <v>-0.9265579465160686</v>
      </c>
      <c r="J69" s="34">
        <f t="shared" si="22"/>
        <v>-1.0468899671416845</v>
      </c>
      <c r="K69" s="34">
        <f t="shared" si="22"/>
        <v>-1.208138434412046</v>
      </c>
      <c r="L69" s="34">
        <f t="shared" si="22"/>
        <v>-1.1068725389144658</v>
      </c>
      <c r="M69" s="34">
        <f t="shared" si="22"/>
        <v>-0.99953383073453339</v>
      </c>
      <c r="N69" s="34">
        <f t="shared" si="22"/>
        <v>-0.52930049509113075</v>
      </c>
      <c r="O69" s="34">
        <f t="shared" si="22"/>
        <v>-0.46898403578165537</v>
      </c>
      <c r="P69" s="34">
        <f t="shared" si="22"/>
        <v>-0.50260901562358984</v>
      </c>
      <c r="Q69" s="34">
        <f t="shared" si="22"/>
        <v>-0.53702495130906902</v>
      </c>
      <c r="R69" s="34">
        <f t="shared" si="22"/>
        <v>-0.57249437823269478</v>
      </c>
      <c r="S69" s="34">
        <f t="shared" si="22"/>
        <v>-0.71318875350223088</v>
      </c>
      <c r="T69" s="34">
        <f t="shared" si="22"/>
        <v>-0.78095768206950378</v>
      </c>
      <c r="U69" s="34">
        <f t="shared" si="22"/>
        <v>-0.86125990705579147</v>
      </c>
      <c r="V69" s="34">
        <f t="shared" si="22"/>
        <v>-0.95765139277819145</v>
      </c>
      <c r="W69" s="34">
        <f t="shared" si="22"/>
        <v>-0.89572182677146595</v>
      </c>
    </row>
    <row r="70" spans="2:23" outlineLevel="1" x14ac:dyDescent="0.2">
      <c r="B70" s="79" t="s">
        <v>117</v>
      </c>
      <c r="C70" s="34"/>
      <c r="D70" s="34">
        <f t="shared" ref="D70:T70" si="23">-C57*D42/100*(1/(1+D42/100))</f>
        <v>-4.6474060312447243</v>
      </c>
      <c r="E70" s="34">
        <f>-D57*E42/100*(1/(1+E42/100))</f>
        <v>-6.2463275395389601</v>
      </c>
      <c r="F70" s="34">
        <f t="shared" si="23"/>
        <v>-3.3915006112475261</v>
      </c>
      <c r="G70" s="34">
        <f t="shared" si="23"/>
        <v>-2.4148044341436941</v>
      </c>
      <c r="H70" s="34">
        <f t="shared" si="23"/>
        <v>-2.4286682611204196</v>
      </c>
      <c r="I70" s="34">
        <f t="shared" si="23"/>
        <v>-2.4257253347394383</v>
      </c>
      <c r="J70" s="34">
        <f t="shared" si="23"/>
        <v>-2.4088530327361055</v>
      </c>
      <c r="K70" s="34">
        <f t="shared" si="23"/>
        <v>-2.3737638768060934</v>
      </c>
      <c r="L70" s="34">
        <f t="shared" si="23"/>
        <v>-2.3336254081094783</v>
      </c>
      <c r="M70" s="34">
        <f t="shared" si="23"/>
        <v>-2.2948388941019995</v>
      </c>
      <c r="N70" s="34">
        <f t="shared" si="23"/>
        <v>-2.2585783916190243</v>
      </c>
      <c r="O70" s="34">
        <f t="shared" si="23"/>
        <v>-2.2409498971493251</v>
      </c>
      <c r="P70" s="34">
        <f t="shared" si="23"/>
        <v>-2.1869170850634854</v>
      </c>
      <c r="Q70" s="34">
        <f t="shared" si="23"/>
        <v>-2.1411742708869954</v>
      </c>
      <c r="R70" s="34">
        <f t="shared" si="23"/>
        <v>-2.1028823253644844</v>
      </c>
      <c r="S70" s="34">
        <f t="shared" si="23"/>
        <v>-2.0712065663130499</v>
      </c>
      <c r="T70" s="34">
        <f t="shared" si="23"/>
        <v>-2.042896889080982</v>
      </c>
      <c r="U70" s="34">
        <f t="shared" ref="U70" si="24">-T57*U42/100*(1/(1+U42/100))</f>
        <v>-2.0193625227834509</v>
      </c>
      <c r="V70" s="34">
        <f t="shared" ref="V70" si="25">-U57*V42/100*(1/(1+V42/100))</f>
        <v>-1.9999647921769841</v>
      </c>
      <c r="W70" s="34">
        <f t="shared" ref="W70" si="26">-V57*W42/100*(1/(1+W42/100))</f>
        <v>-1.9836171218627703</v>
      </c>
    </row>
    <row r="71" spans="2:23" outlineLevel="1" x14ac:dyDescent="0.2">
      <c r="B71" s="79" t="s">
        <v>118</v>
      </c>
      <c r="C71" s="49"/>
      <c r="D71" s="49">
        <f>'Baseline NFPC'!D70</f>
        <v>1.0712258511347272E-6</v>
      </c>
      <c r="E71" s="49">
        <f>'Baseline NFPC'!E70</f>
        <v>1.157580009625292E-4</v>
      </c>
      <c r="F71" s="49">
        <f>'Baseline NFPC'!F70</f>
        <v>5.778732171579648E-5</v>
      </c>
      <c r="G71" s="49">
        <f>'Baseline NFPC'!G70</f>
        <v>3.7896517824709264E-5</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0.81180839999999999</v>
      </c>
      <c r="E72" s="50">
        <f>'Input data'!E16</f>
        <v>1.2174830000000001</v>
      </c>
      <c r="F72" s="50">
        <f>'Input data'!F16</f>
        <v>0.45447110000000002</v>
      </c>
      <c r="G72" s="50">
        <f>'Input data'!G16</f>
        <v>0.94000099999999998</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0.81181420000000004</v>
      </c>
      <c r="E73" s="34">
        <f t="shared" si="27"/>
        <v>1.217482</v>
      </c>
      <c r="F73" s="34">
        <f t="shared" si="27"/>
        <v>0.45447080000000001</v>
      </c>
      <c r="G73" s="34">
        <f t="shared" si="27"/>
        <v>0.94</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-5.8000000000557606E-6</v>
      </c>
      <c r="E74" s="49">
        <f t="shared" ref="E74:T74" si="28">+E72-E73</f>
        <v>1.000000000139778E-6</v>
      </c>
      <c r="F74" s="49">
        <f t="shared" si="28"/>
        <v>3.000000000086267E-7</v>
      </c>
      <c r="G74" s="49">
        <f t="shared" si="28"/>
        <v>1.0000000000287557E-6</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116.8408</v>
      </c>
      <c r="D84" s="110">
        <f>D57</f>
        <v>111.62002928145338</v>
      </c>
      <c r="E84" s="110">
        <f>E57</f>
        <v>107.65412775375809</v>
      </c>
      <c r="F84" s="110">
        <f>F57</f>
        <v>105.50997791462379</v>
      </c>
      <c r="G84" s="110">
        <f>G57</f>
        <v>104.97907714628215</v>
      </c>
      <c r="H84" s="110">
        <f>G84*(1+H98/100)*H43-H60-H61+H62+H63+H64+H65+H66+H72</f>
        <v>103.74121471198742</v>
      </c>
      <c r="I84" s="110">
        <f t="shared" ref="I84:T84" si="37">H84*(1+I98/100)*I43-I60-I61+I62+I63+I64+I65+I66+I72</f>
        <v>101.94036868200992</v>
      </c>
      <c r="J84" s="110">
        <f t="shared" si="37"/>
        <v>99.41445907477997</v>
      </c>
      <c r="K84" s="110">
        <f t="shared" si="37"/>
        <v>96.731565799407164</v>
      </c>
      <c r="L84" s="110">
        <f t="shared" si="37"/>
        <v>94.159075001442957</v>
      </c>
      <c r="M84" s="110">
        <f t="shared" si="37"/>
        <v>91.741310740030315</v>
      </c>
      <c r="N84" s="110">
        <f t="shared" si="37"/>
        <v>90.121338020652274</v>
      </c>
      <c r="O84" s="110">
        <f t="shared" si="37"/>
        <v>88.883332746648634</v>
      </c>
      <c r="P84" s="110">
        <f t="shared" si="37"/>
        <v>87.959782322469991</v>
      </c>
      <c r="Q84" s="110">
        <f t="shared" si="37"/>
        <v>87.32607686901126</v>
      </c>
      <c r="R84" s="110">
        <f t="shared" si="37"/>
        <v>86.956721579142936</v>
      </c>
      <c r="S84" s="110">
        <f t="shared" si="37"/>
        <v>86.722560685183851</v>
      </c>
      <c r="T84" s="110">
        <f t="shared" si="37"/>
        <v>86.688650689804419</v>
      </c>
      <c r="U84" s="110">
        <f>T84*(1+U98/100)*U43-U60-U61+U62+U63+U64+U65+U66+U72</f>
        <v>86.834102318242003</v>
      </c>
      <c r="V84" s="110">
        <f t="shared" ref="V84:W84" si="38">U84*(1+V98/100)*V43-V60-V61+V62+V63+V64+V65+V66+V72</f>
        <v>87.117399176058882</v>
      </c>
      <c r="W84" s="110">
        <f t="shared" si="38"/>
        <v>87.732400055985451</v>
      </c>
    </row>
    <row r="85" spans="2:23" x14ac:dyDescent="0.2">
      <c r="B85" s="26" t="s">
        <v>127</v>
      </c>
      <c r="C85" s="34"/>
      <c r="D85" s="254">
        <f>'Input data'!C66*$D$84</f>
        <v>92.157855454020762</v>
      </c>
      <c r="E85" s="34">
        <f t="shared" ref="E85" si="39">IF(E84=0,0,IF(E80=1,D84*E43/((1+E23/100)*(1+E42/100))-E86-E87,IF(AND(E80=0,E81=1),(1-D90-E39*D91)*D84*E43/((1+E23/100)*(1+E42/100)),E84)))</f>
        <v>86.713038149766305</v>
      </c>
      <c r="F85" s="34">
        <f t="shared" ref="F85" si="40">IF(F84=0,0,IF(F80=1,E84*F43/((1+F23/100)*(1+F42/100))-F86-F87,IF(AND(F80=0,F81=1),(1-E90-F39*E91)*E84*F43/((1+F23/100)*(1+F42/100)),F84)))</f>
        <v>87.011336345534914</v>
      </c>
      <c r="G85" s="34">
        <f t="shared" ref="G85" si="41">IF(G84=0,0,IF(G80=1,F84*G43/((1+G23/100)*(1+G42/100))-G86-G87,IF(AND(G80=0,G81=1),(1-F90-G39*F91)*F84*G43/((1+G23/100)*(1+G42/100)),G84)))</f>
        <v>86.674141426534902</v>
      </c>
      <c r="H85" s="34">
        <f t="shared" ref="H85:W85" si="42">IF(H84=0,0,IF(H80=1,G84*H43/((1+H23/100)*(1+H42/100))-H86-H87,IF(AND(H80=0,H81=1),(1-G90-H39*G91)*G84*H43/((1+H23/100)*(1+H42/100)),H84)))</f>
        <v>86.664679004720298</v>
      </c>
      <c r="I85" s="34">
        <f t="shared" si="42"/>
        <v>85.537704013200184</v>
      </c>
      <c r="J85" s="34">
        <f t="shared" si="42"/>
        <v>83.89659995981232</v>
      </c>
      <c r="K85" s="34">
        <f t="shared" si="42"/>
        <v>81.616827261812347</v>
      </c>
      <c r="L85" s="34">
        <f t="shared" si="42"/>
        <v>79.432283409404945</v>
      </c>
      <c r="M85" s="34">
        <f t="shared" si="42"/>
        <v>77.346764315191521</v>
      </c>
      <c r="N85" s="34">
        <f t="shared" si="42"/>
        <v>75.700736772436912</v>
      </c>
      <c r="O85" s="34">
        <f t="shared" si="42"/>
        <v>74.370880200670115</v>
      </c>
      <c r="P85" s="34">
        <f t="shared" si="42"/>
        <v>73.34077343611952</v>
      </c>
      <c r="Q85" s="34">
        <f t="shared" si="42"/>
        <v>72.57147109971865</v>
      </c>
      <c r="R85" s="34">
        <f t="shared" si="42"/>
        <v>72.042430787140219</v>
      </c>
      <c r="S85" s="34">
        <f t="shared" si="42"/>
        <v>71.643907126029092</v>
      </c>
      <c r="T85" s="34">
        <f t="shared" si="42"/>
        <v>71.420265582399011</v>
      </c>
      <c r="U85" s="34">
        <f t="shared" si="42"/>
        <v>71.35289198138284</v>
      </c>
      <c r="V85" s="34">
        <f t="shared" si="42"/>
        <v>71.421472870525008</v>
      </c>
      <c r="W85" s="34">
        <f t="shared" si="42"/>
        <v>71.740010726856099</v>
      </c>
    </row>
    <row r="86" spans="2:23" x14ac:dyDescent="0.2">
      <c r="B86" s="105" t="s">
        <v>128</v>
      </c>
      <c r="C86" s="34"/>
      <c r="D86" s="254">
        <f>'Input data'!C67*$D$84</f>
        <v>6.6572250300998093</v>
      </c>
      <c r="E86" s="34">
        <f t="shared" ref="E86" si="43">IF(E84=0,0,IF(E80=1,E39*D84*D91*E43/((1+E23/100)*(1+E42/100)),IF(AND(E80=0,E81=1),(E39*D84*D91*E43/((1+E23/100)*(1+E42/100)))*(1-ABS(E84-D84*E43/((1+E23/100)*(1+E42/100)))/((E39*D84*D91*E43/((1+E23/100)*(1+E42/100)))+(D90*D84*E43/((1+E23/100)*(1+E42/100))))),0)))</f>
        <v>9.0521709577617173</v>
      </c>
      <c r="F86" s="34">
        <f t="shared" ref="F86" si="44">IF(F84=0,0,IF(F80=1,F39*E84*E91*F43/((1+F23/100)*(1+F42/100)),IF(AND(F80=0,F81=1),(F39*E84*E91*F43/((1+F23/100)*(1+F42/100)))*(1-ABS(F84-E84*F43/((1+F23/100)*(1+F42/100)))/((F39*E84*E91*F43/((1+F23/100)*(1+F42/100)))+(E90*E84*F43/((1+F23/100)*(1+F42/100))))),0)))</f>
        <v>8.1018922360868402</v>
      </c>
      <c r="G86" s="34">
        <f t="shared" ref="G86" si="45">IF(G84=0,0,IF(G80=1,G39*F84*F91*G43/((1+G23/100)*(1+G42/100)),IF(AND(G80=0,G81=1),(G39*F84*F91*G43/((1+G23/100)*(1+G42/100)))*(1-ABS(G84-F84*G43/((1+G23/100)*(1+G42/100)))/((G39*F84*F91*G43/((1+G23/100)*(1+G42/100)))+(F90*F84*G43/((1+G23/100)*(1+G42/100))))),0)))</f>
        <v>8.0987933404519996</v>
      </c>
      <c r="H86" s="34">
        <f t="shared" ref="H86:W86" si="46">IF(H84=0,0,IF(H80=1,H39*G84*G91*H43/((1+H23/100)*(1+H42/100)),IF(AND(H80=0,H81=1),(H39*G84*G91*H43/((1+H23/100)*(1+H42/100)))*(1-ABS(H84-G84*H43/((1+H23/100)*(1+H42/100)))/((H39*G84*G91*H43/((1+H23/100)*(1+H42/100)))+(G90*G84*H43/((1+H23/100)*(1+H42/100))))),0)))</f>
        <v>8.1262213509330685</v>
      </c>
      <c r="I86" s="34">
        <f t="shared" si="46"/>
        <v>8.0485098501896672</v>
      </c>
      <c r="J86" s="34">
        <f t="shared" si="46"/>
        <v>7.9215339019974236</v>
      </c>
      <c r="K86" s="34">
        <f t="shared" si="46"/>
        <v>7.732988267923929</v>
      </c>
      <c r="L86" s="34">
        <f t="shared" si="46"/>
        <v>7.5520198295112957</v>
      </c>
      <c r="M86" s="34">
        <f t="shared" si="46"/>
        <v>7.3790830105194125</v>
      </c>
      <c r="N86" s="34">
        <f t="shared" si="46"/>
        <v>7.2468669843943356</v>
      </c>
      <c r="O86" s="34">
        <f t="shared" si="46"/>
        <v>7.1439570785580679</v>
      </c>
      <c r="P86" s="34">
        <f t="shared" si="46"/>
        <v>7.0450065418369014</v>
      </c>
      <c r="Q86" s="34">
        <f t="shared" si="46"/>
        <v>6.9711084938797843</v>
      </c>
      <c r="R86" s="34">
        <f t="shared" si="46"/>
        <v>6.92028966162058</v>
      </c>
      <c r="S86" s="34">
        <f t="shared" si="46"/>
        <v>6.8820080664305561</v>
      </c>
      <c r="T86" s="34">
        <f t="shared" si="46"/>
        <v>6.8605253895499692</v>
      </c>
      <c r="U86" s="34">
        <f t="shared" si="46"/>
        <v>6.8540535807911018</v>
      </c>
      <c r="V86" s="34">
        <f t="shared" si="46"/>
        <v>6.8606413598669853</v>
      </c>
      <c r="W86" s="34">
        <f t="shared" si="46"/>
        <v>6.8912396366035926</v>
      </c>
    </row>
    <row r="87" spans="2:23" x14ac:dyDescent="0.2">
      <c r="B87" s="105" t="s">
        <v>129</v>
      </c>
      <c r="C87" s="34"/>
      <c r="D87" s="254">
        <f>'Input data'!C68*$D$84</f>
        <v>7.2591429731261297</v>
      </c>
      <c r="E87" s="34">
        <f t="shared" ref="E87" si="47">IF(E84=0,0,IF(E80=1,(1-D91)*D84*E43/((1+E23/100)*(1+E42/100)),IF(AND(E80=0,E81=1),(D90*D84*E43/((1+E23/100)*(1+E42/100)))*(1-ABS(E84-D84*E43/((1+E23/100)*(1+E42/100)))/((E39*D84*D91*E43/((1+E23/100)*(1+E42/100)))+(D90*D84*E43/((1+E23/100)*(1+E42/100))))),0)))</f>
        <v>7.0350986971308531</v>
      </c>
      <c r="F87" s="34">
        <f t="shared" ref="F87" si="48">IF(F84=0,0,IF(F80=1,(1-E91)*E84*F43/((1+F23/100)*(1+F42/100)),IF(AND(F80=0,F81=1),(E90*E84*F43/((1+F23/100)*(1+F42/100)))*(1-ABS(F84-E84*F43/((1+F23/100)*(1+F42/100)))/((F39*E84*E91*F43/((1+F23/100)*(1+F42/100)))+(E90*E84*F43/((1+F23/100)*(1+F42/100))))),0)))</f>
        <v>6.9602121255570193</v>
      </c>
      <c r="G87" s="34">
        <f t="shared" ref="G87" si="49">IF(G84=0,0,IF(G80=1,(1-F91)*F84*G43/((1+G23/100)*(1+G42/100)),IF(AND(G80=0,G81=1),(F90*F84*G43/((1+G23/100)*(1+G42/100)))*(1-ABS(G84-F84*G43/((1+G23/100)*(1+G42/100)))/((G39*F84*F91*G43/((1+G23/100)*(1+G42/100)))+(F90*F84*G43/((1+G23/100)*(1+G42/100))))),0)))</f>
        <v>6.9167660376294151</v>
      </c>
      <c r="H87" s="34">
        <f t="shared" ref="H87:W87" si="50">IF(H84=0,0,IF(H80=1,(1-G91)*G84*H43/((1+H23/100)*(1+H42/100)),IF(AND(H80=0,H81=1),(G90*G84*H43/((1+H23/100)*(1+H42/100)))*(1-ABS(H84-G84*H43/((1+H23/100)*(1+H42/100)))/((H39*G84*G91*H43/((1+H23/100)*(1+H42/100)))+(G90*G84*H43/((1+H23/100)*(1+H42/100))))),0)))</f>
        <v>6.9008213919165069</v>
      </c>
      <c r="I87" s="34">
        <f t="shared" si="50"/>
        <v>6.8027175673420732</v>
      </c>
      <c r="J87" s="34">
        <f t="shared" si="50"/>
        <v>6.6664918203224053</v>
      </c>
      <c r="K87" s="34">
        <f t="shared" si="50"/>
        <v>6.482741233825557</v>
      </c>
      <c r="L87" s="34">
        <f t="shared" si="50"/>
        <v>6.3067646134669815</v>
      </c>
      <c r="M87" s="34">
        <f t="shared" si="50"/>
        <v>6.1388549508955048</v>
      </c>
      <c r="N87" s="34">
        <f t="shared" si="50"/>
        <v>6.0058280964889175</v>
      </c>
      <c r="O87" s="34">
        <f t="shared" si="50"/>
        <v>5.8965668084931018</v>
      </c>
      <c r="P87" s="34">
        <f t="shared" si="50"/>
        <v>5.8080266680051382</v>
      </c>
      <c r="Q87" s="34">
        <f t="shared" si="50"/>
        <v>5.7390035066754814</v>
      </c>
      <c r="R87" s="34">
        <f t="shared" si="50"/>
        <v>5.6879797166532686</v>
      </c>
      <c r="S87" s="34">
        <f t="shared" si="50"/>
        <v>5.6464110668680103</v>
      </c>
      <c r="T87" s="34">
        <f t="shared" si="50"/>
        <v>5.6179151420843958</v>
      </c>
      <c r="U87" s="34">
        <f t="shared" si="50"/>
        <v>5.6010826977912354</v>
      </c>
      <c r="V87" s="34">
        <f t="shared" si="50"/>
        <v>5.5943719028948546</v>
      </c>
      <c r="W87" s="34">
        <f t="shared" si="50"/>
        <v>5.6068098639649504</v>
      </c>
    </row>
    <row r="88" spans="2:23" x14ac:dyDescent="0.2">
      <c r="B88" s="105" t="s">
        <v>130</v>
      </c>
      <c r="C88" s="34"/>
      <c r="D88" s="254">
        <f>'Input data'!C69*$D$84</f>
        <v>5.1662759242534131</v>
      </c>
      <c r="E88" s="34">
        <f>IF(E84=0,0,IF(E80=1,'Input data'!$C$58*(E84-D84*E43/((1+E23/100)*(1+E42/100))),0))</f>
        <v>4.5481690823205021</v>
      </c>
      <c r="F88" s="34">
        <f>IF(F84=0,0,IF(F80=1,'Input data'!$C$58*(F84-E84*F43/((1+F23/100)*(1+F42/100))),0))</f>
        <v>3.2201343356475522</v>
      </c>
      <c r="G88" s="34">
        <f>IF(G84=0,0,IF(G80=1,'Input data'!$C$58*(G84-F84*G43/((1+G23/100)*(1+G42/100))),0))</f>
        <v>3.0822403661795215</v>
      </c>
      <c r="H88" s="34">
        <f>IF(H84=0,0,IF(H80=1,'Input data'!$C$58*(H84-G84*H43/((1+H23/100)*(1+H42/100))),0))</f>
        <v>1.9204339330566222</v>
      </c>
      <c r="I88" s="34">
        <f>IF(I84=0,0,IF(I80=1,'Input data'!$C$58*(I84-H84*I43/((1+I23/100)*(1+I42/100))),0))</f>
        <v>1.4537413858403254</v>
      </c>
      <c r="J88" s="34">
        <f>IF(J84=0,0,IF(J80=1,'Input data'!$C$58*(J84-I84*J43/((1+J23/100)*(1+J42/100))),0))</f>
        <v>0.87128066811271765</v>
      </c>
      <c r="K88" s="34">
        <f>IF(K84=0,0,IF(K80=1,'Input data'!$C$58*(K84-J84*K43/((1+K23/100)*(1+K42/100))),0))</f>
        <v>0.84239735804731464</v>
      </c>
      <c r="L88" s="34">
        <f>IF(L84=0,0,IF(L80=1,'Input data'!$C$58*(L84-K84*L43/((1+L23/100)*(1+L42/100))),0))</f>
        <v>0.81334769727486522</v>
      </c>
      <c r="M88" s="34">
        <f>IF(M84=0,0,IF(M80=1,'Input data'!$C$58*(M84-L84*M43/((1+M23/100)*(1+M42/100))),0))</f>
        <v>0.82140737655192031</v>
      </c>
      <c r="N88" s="34">
        <f>IF(N84=0,0,IF(N80=1,'Input data'!$C$58*(N84-M84*N43/((1+N23/100)*(1+N42/100))),0))</f>
        <v>1.0943617144878157</v>
      </c>
      <c r="O88" s="34">
        <f>IF(O84=0,0,IF(O80=1,'Input data'!$C$58*(O84-N84*O43/((1+O23/100)*(1+O42/100))),0))</f>
        <v>1.3792395449602941</v>
      </c>
      <c r="P88" s="34">
        <f>IF(P84=0,0,IF(P80=1,'Input data'!$C$58*(P84-O84*P43/((1+P23/100)*(1+P42/100))),0))</f>
        <v>1.6547700689878846</v>
      </c>
      <c r="Q88" s="34">
        <f>IF(Q84=0,0,IF(Q80=1,'Input data'!$C$58*(Q84-P84*Q43/((1+Q23/100)*(1+Q42/100))),0))</f>
        <v>1.9157495427274269</v>
      </c>
      <c r="R88" s="34">
        <f>IF(R84=0,0,IF(R80=1,'Input data'!$C$58*(R84-Q84*R43/((1+R23/100)*(1+R42/100))),0))</f>
        <v>2.160808478080654</v>
      </c>
      <c r="S88" s="34">
        <f>IF(S84=0,0,IF(S80=1,'Input data'!$C$58*(S84-R84*S43/((1+S23/100)*(1+S42/100))),0))</f>
        <v>2.389643103778714</v>
      </c>
      <c r="T88" s="34">
        <f>IF(T84=0,0,IF(T80=1,'Input data'!$C$58*(T84-S84*T43/((1+T23/100)*(1+T42/100))),0))</f>
        <v>2.6142584179012518</v>
      </c>
      <c r="U88" s="34">
        <f>IF(U84=0,0,IF(U80=1,'Input data'!$C$58*(U84-T84*U43/((1+U23/100)*(1+U42/100))),0))</f>
        <v>2.8355185435382579</v>
      </c>
      <c r="V88" s="34">
        <f>IF(V84=0,0,IF(V80=1,'Input data'!$C$58*(V84-U84*V43/((1+V23/100)*(1+V42/100))),0))</f>
        <v>3.036828859373029</v>
      </c>
      <c r="W88" s="34">
        <f>IF(W84=0,0,IF(W80=1,'Input data'!$C$58*(W84-V84*W43/((1+W23/100)*(1+W42/100))),0))</f>
        <v>3.2742970563485425</v>
      </c>
    </row>
    <row r="89" spans="2:23" x14ac:dyDescent="0.2">
      <c r="B89" s="107" t="s">
        <v>131</v>
      </c>
      <c r="C89" s="49"/>
      <c r="D89" s="255">
        <f>'Input data'!C70*$D$84</f>
        <v>0.37952439985328523</v>
      </c>
      <c r="E89" s="49">
        <f>IF(E84=0,0,IF(E80=1,'Input data'!$C$57*(E84-D84*E43/((1+E23/100)*(1+E42/100))),0))</f>
        <v>0.30565086677871672</v>
      </c>
      <c r="F89" s="49">
        <f>IF(F84=0,0,IF(F80=1,'Input data'!$C$57*(F84-E84*F43/((1+F23/100)*(1+F42/100))),0))</f>
        <v>0.21640287179746145</v>
      </c>
      <c r="G89" s="49">
        <f>IF(G84=0,0,IF(G80=1,'Input data'!$C$57*(G84-F84*G43/((1+G23/100)*(1+G42/100))),0))</f>
        <v>0.20713597548630724</v>
      </c>
      <c r="H89" s="49">
        <f>IF(H84=0,0,IF(H80=1,'Input data'!$C$57*(H84-G84*H43/((1+H23/100)*(1+H42/100))),0))</f>
        <v>0.12905903136093061</v>
      </c>
      <c r="I89" s="49">
        <f>IF(I84=0,0,IF(I80=1,'Input data'!$C$57*(I84-H84*I43/((1+I23/100)*(1+I42/100))),0))</f>
        <v>9.7695865437677373E-2</v>
      </c>
      <c r="J89" s="49">
        <f>IF(J84=0,0,IF(J80=1,'Input data'!$C$57*(J84-I84*J43/((1+J23/100)*(1+J42/100))),0))</f>
        <v>5.8552724535104544E-2</v>
      </c>
      <c r="K89" s="49">
        <f>IF(K84=0,0,IF(K80=1,'Input data'!$C$57*(K84-J84*K43/((1+K23/100)*(1+K42/100))),0))</f>
        <v>5.6611677798023993E-2</v>
      </c>
      <c r="L89" s="49">
        <f>IF(L84=0,0,IF(L80=1,'Input data'!$C$57*(L84-K84*L43/((1+L23/100)*(1+L42/100))),0))</f>
        <v>5.465945178487043E-2</v>
      </c>
      <c r="M89" s="49">
        <f>IF(M84=0,0,IF(M80=1,'Input data'!$C$57*(M84-L84*M43/((1+M23/100)*(1+M42/100))),0))</f>
        <v>5.5201086871957711E-2</v>
      </c>
      <c r="N89" s="49">
        <f>IF(N84=0,0,IF(N80=1,'Input data'!$C$57*(N84-M84*N43/((1+N23/100)*(1+N42/100))),0))</f>
        <v>7.35444528443044E-2</v>
      </c>
      <c r="O89" s="49">
        <f>IF(O84=0,0,IF(O80=1,'Input data'!$C$57*(O84-N84*O43/((1+O23/100)*(1+O42/100))),0))</f>
        <v>9.2689113967045281E-2</v>
      </c>
      <c r="P89" s="49">
        <f>IF(P84=0,0,IF(P80=1,'Input data'!$C$57*(P84-O84*P43/((1+P23/100)*(1+P42/100))),0))</f>
        <v>0.11120560752054781</v>
      </c>
      <c r="Q89" s="49">
        <f>IF(Q84=0,0,IF(Q80=1,'Input data'!$C$57*(Q84-P84*Q43/((1+Q23/100)*(1+Q42/100))),0))</f>
        <v>0.12874422600991278</v>
      </c>
      <c r="R89" s="49">
        <f>IF(R84=0,0,IF(R80=1,'Input data'!$C$57*(R84-Q84*R43/((1+R23/100)*(1+R42/100))),0))</f>
        <v>0.14521293564820259</v>
      </c>
      <c r="S89" s="49">
        <f>IF(S84=0,0,IF(S80=1,'Input data'!$C$57*(S84-R84*S43/((1+S23/100)*(1+S42/100))),0))</f>
        <v>0.16059132207747526</v>
      </c>
      <c r="T89" s="49">
        <f>IF(T84=0,0,IF(T80=1,'Input data'!$C$57*(T84-S84*T43/((1+T23/100)*(1+T42/100))),0))</f>
        <v>0.17568615786979366</v>
      </c>
      <c r="U89" s="49">
        <f>IF(U84=0,0,IF(U80=1,'Input data'!$C$57*(U84-T84*U43/((1+U23/100)*(1+U42/100))),0))</f>
        <v>0.19055551473856125</v>
      </c>
      <c r="V89" s="49">
        <f>IF(V84=0,0,IF(V80=1,'Input data'!$C$57*(V84-U84*V43/((1+V23/100)*(1+V42/100))),0))</f>
        <v>0.20408418339900641</v>
      </c>
      <c r="W89" s="49">
        <f>IF(W84=0,0,IF(W80=1,'Input data'!$C$57*(W84-V84*W43/((1+W23/100)*(1+W42/100))),0))</f>
        <v>0.22004277221226856</v>
      </c>
    </row>
    <row r="90" spans="2:23" x14ac:dyDescent="0.2">
      <c r="B90" s="26" t="s">
        <v>73</v>
      </c>
      <c r="C90" s="34"/>
      <c r="D90" s="260">
        <f>'Baseline NFPC'!$D$93</f>
        <v>6.8434607321399721E-2</v>
      </c>
      <c r="E90" s="34">
        <f t="shared" ref="E90:G90" si="51">IF(E84&lt;&gt;0,(E87+E89)/(E85+E86+E87+E88+E89),0)</f>
        <v>6.8188277747234932E-2</v>
      </c>
      <c r="F90" s="34">
        <f t="shared" si="51"/>
        <v>6.8018353706429835E-2</v>
      </c>
      <c r="G90" s="34">
        <f t="shared" si="51"/>
        <v>6.7860208022108875E-2</v>
      </c>
      <c r="H90" s="34">
        <f t="shared" ref="H90:W90" si="52">IF(H84&lt;&gt;0,(H87+H89)/(H85+H86+H87+H88+H89),0)</f>
        <v>6.7763621650220818E-2</v>
      </c>
      <c r="I90" s="34">
        <f t="shared" si="52"/>
        <v>6.7690685466370221E-2</v>
      </c>
      <c r="J90" s="34">
        <f t="shared" si="52"/>
        <v>6.7646543646119967E-2</v>
      </c>
      <c r="K90" s="34">
        <f t="shared" si="52"/>
        <v>6.7603091685544278E-2</v>
      </c>
      <c r="L90" s="34">
        <f t="shared" si="52"/>
        <v>6.7560392507619318E-2</v>
      </c>
      <c r="M90" s="34">
        <f t="shared" si="52"/>
        <v>6.7516541760774679E-2</v>
      </c>
      <c r="N90" s="34">
        <f t="shared" si="52"/>
        <v>6.7457637479151372E-2</v>
      </c>
      <c r="O90" s="34">
        <f t="shared" si="52"/>
        <v>6.7383341031234834E-2</v>
      </c>
      <c r="P90" s="34">
        <f t="shared" si="52"/>
        <v>6.7294758118263021E-2</v>
      </c>
      <c r="Q90" s="34">
        <f t="shared" si="52"/>
        <v>6.7193534200408328E-2</v>
      </c>
      <c r="R90" s="34">
        <f t="shared" si="52"/>
        <v>6.7081561337296272E-2</v>
      </c>
      <c r="S90" s="34">
        <f t="shared" si="52"/>
        <v>6.6960688695826123E-2</v>
      </c>
      <c r="T90" s="34">
        <f t="shared" si="52"/>
        <v>6.6832292968606363E-2</v>
      </c>
      <c r="U90" s="34">
        <f t="shared" si="52"/>
        <v>6.6697738076496427E-2</v>
      </c>
      <c r="V90" s="34">
        <f t="shared" si="52"/>
        <v>6.6559104623584317E-2</v>
      </c>
      <c r="W90" s="34">
        <f t="shared" si="52"/>
        <v>6.6416200086386309E-2</v>
      </c>
    </row>
    <row r="91" spans="2:23" x14ac:dyDescent="0.2">
      <c r="B91" s="35" t="s">
        <v>74</v>
      </c>
      <c r="C91" s="49"/>
      <c r="D91" s="261">
        <f>'Baseline NFPC'!$D$94</f>
        <v>0.93156539267860028</v>
      </c>
      <c r="E91" s="49">
        <f t="shared" ref="E91:G91" si="53">IF(E84&lt;&gt;0,(E85+E86+E88)/(E85+E86+E87+E88+E89),1)</f>
        <v>0.9318117222527651</v>
      </c>
      <c r="F91" s="49">
        <f t="shared" si="53"/>
        <v>0.93198164629357017</v>
      </c>
      <c r="G91" s="49">
        <f t="shared" si="53"/>
        <v>0.9321397919778911</v>
      </c>
      <c r="H91" s="49">
        <f t="shared" ref="H91:W91" si="54">IF(H84&lt;&gt;0,(H85+H86+H88)/(H85+H86+H87+H88+H89),1)</f>
        <v>0.93223637834977924</v>
      </c>
      <c r="I91" s="49">
        <f t="shared" si="54"/>
        <v>0.93230931453362986</v>
      </c>
      <c r="J91" s="49">
        <f t="shared" si="54"/>
        <v>0.93235345635388001</v>
      </c>
      <c r="K91" s="49">
        <f t="shared" si="54"/>
        <v>0.93239690831445587</v>
      </c>
      <c r="L91" s="49">
        <f t="shared" si="54"/>
        <v>0.93243960749238064</v>
      </c>
      <c r="M91" s="49">
        <f t="shared" si="54"/>
        <v>0.93248345823922529</v>
      </c>
      <c r="N91" s="49">
        <f t="shared" si="54"/>
        <v>0.93254236252084877</v>
      </c>
      <c r="O91" s="49">
        <f t="shared" si="54"/>
        <v>0.93261665896876522</v>
      </c>
      <c r="P91" s="49">
        <f t="shared" si="54"/>
        <v>0.93270524188173698</v>
      </c>
      <c r="Q91" s="49">
        <f t="shared" si="54"/>
        <v>0.93280646579959159</v>
      </c>
      <c r="R91" s="49">
        <f t="shared" si="54"/>
        <v>0.93291843866270363</v>
      </c>
      <c r="S91" s="49">
        <f t="shared" si="54"/>
        <v>0.93303931130417384</v>
      </c>
      <c r="T91" s="49">
        <f t="shared" si="54"/>
        <v>0.93316770703139362</v>
      </c>
      <c r="U91" s="49">
        <f t="shared" si="54"/>
        <v>0.93330226192350352</v>
      </c>
      <c r="V91" s="49">
        <f t="shared" si="54"/>
        <v>0.93344089537641572</v>
      </c>
      <c r="W91" s="49">
        <f t="shared" si="54"/>
        <v>0.93358379991361362</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1.9449599981307983</v>
      </c>
      <c r="D93" s="115">
        <f>D105</f>
        <v>2.2273135185241699</v>
      </c>
      <c r="E93" s="115">
        <f t="shared" ref="E93:G93" si="55">E95+E96</f>
        <v>2.3933340000000003</v>
      </c>
      <c r="F93" s="115">
        <f t="shared" si="55"/>
        <v>2.4819740000000001</v>
      </c>
      <c r="G93" s="115">
        <f t="shared" si="55"/>
        <v>2.5283960000000008</v>
      </c>
      <c r="H93" s="115">
        <f t="shared" ref="H93:W93" si="56">H95+H96</f>
        <v>2.636124678758041</v>
      </c>
      <c r="I93" s="115">
        <f t="shared" si="56"/>
        <v>2.7338648014854905</v>
      </c>
      <c r="J93" s="115">
        <f t="shared" si="56"/>
        <v>2.8287631783892078</v>
      </c>
      <c r="K93" s="115">
        <f t="shared" si="56"/>
        <v>2.9978879024887894</v>
      </c>
      <c r="L93" s="115">
        <f t="shared" si="56"/>
        <v>3.1307186864757455</v>
      </c>
      <c r="M93" s="115">
        <f t="shared" si="56"/>
        <v>3.2613020118669551</v>
      </c>
      <c r="N93" s="115">
        <f t="shared" si="56"/>
        <v>3.3903546058081186</v>
      </c>
      <c r="O93" s="115">
        <f t="shared" si="56"/>
        <v>3.5217462586431192</v>
      </c>
      <c r="P93" s="115">
        <f t="shared" si="56"/>
        <v>3.6410640152135394</v>
      </c>
      <c r="Q93" s="115">
        <f t="shared" si="56"/>
        <v>3.7496925515533617</v>
      </c>
      <c r="R93" s="115">
        <f t="shared" si="56"/>
        <v>3.8477681826306553</v>
      </c>
      <c r="S93" s="115">
        <f t="shared" si="56"/>
        <v>3.935537793317498</v>
      </c>
      <c r="T93" s="115">
        <f t="shared" si="56"/>
        <v>4.0133873742942621</v>
      </c>
      <c r="U93" s="115">
        <f t="shared" si="56"/>
        <v>4.0818628056170629</v>
      </c>
      <c r="V93" s="115">
        <f t="shared" si="56"/>
        <v>4.1415488041551853</v>
      </c>
      <c r="W93" s="115">
        <f t="shared" si="56"/>
        <v>4.1929709941069602</v>
      </c>
    </row>
    <row r="94" spans="2:23" x14ac:dyDescent="0.2">
      <c r="B94" s="33" t="s">
        <v>133</v>
      </c>
      <c r="C94" s="34"/>
      <c r="D94" s="34"/>
      <c r="E94" s="266">
        <f>((E36*D84)-(E38*(D87+D89)))/(D85+D86+D88)</f>
        <v>2.3171786788845403</v>
      </c>
      <c r="F94" s="266">
        <f t="shared" ref="F94:G94" si="57">((F36*E84)-(F38*(E87+E89)))/(E85+E86+E88)</f>
        <v>2.4027780950578612</v>
      </c>
      <c r="G94" s="266">
        <f t="shared" si="57"/>
        <v>2.5073785716419166</v>
      </c>
      <c r="H94" s="34">
        <f t="shared" ref="H94:W94" si="58">IF(G84&gt;0,(G94*G85+H37*(G88+G86))/(G85+G86+G88),H37)</f>
        <v>2.6238239707161255</v>
      </c>
      <c r="I94" s="34">
        <f t="shared" si="58"/>
        <v>2.7295078805118211</v>
      </c>
      <c r="J94" s="34">
        <f t="shared" si="58"/>
        <v>2.8321208187286802</v>
      </c>
      <c r="K94" s="34">
        <f t="shared" si="58"/>
        <v>2.9780554911645649</v>
      </c>
      <c r="L94" s="34">
        <f t="shared" si="58"/>
        <v>3.1213490446426819</v>
      </c>
      <c r="M94" s="34">
        <f t="shared" si="58"/>
        <v>3.2622179047853432</v>
      </c>
      <c r="N94" s="34">
        <f t="shared" si="58"/>
        <v>3.4014310615403791</v>
      </c>
      <c r="O94" s="34">
        <f t="shared" si="58"/>
        <v>3.5431332470691208</v>
      </c>
      <c r="P94" s="34">
        <f t="shared" si="58"/>
        <v>3.6736697528424673</v>
      </c>
      <c r="Q94" s="34">
        <f t="shared" si="58"/>
        <v>3.7927092628866781</v>
      </c>
      <c r="R94" s="34">
        <f t="shared" si="58"/>
        <v>3.900395430632519</v>
      </c>
      <c r="S94" s="34">
        <f t="shared" si="58"/>
        <v>3.9969925930741628</v>
      </c>
      <c r="T94" s="34">
        <f t="shared" si="58"/>
        <v>4.0829158981399187</v>
      </c>
      <c r="U94" s="34">
        <f t="shared" si="58"/>
        <v>4.1587526681780966</v>
      </c>
      <c r="V94" s="34">
        <f t="shared" si="58"/>
        <v>4.2251326879042495</v>
      </c>
      <c r="W94" s="34">
        <f t="shared" si="58"/>
        <v>4.2826241191953232</v>
      </c>
    </row>
    <row r="95" spans="2:23" x14ac:dyDescent="0.2">
      <c r="B95" s="26" t="s">
        <v>134</v>
      </c>
      <c r="C95" s="34"/>
      <c r="D95" s="34"/>
      <c r="E95" s="34">
        <f t="shared" ref="E95" si="59">(E94*(D85+D86+D88)+E38*(D87+D89))/D84</f>
        <v>2.3933340000000003</v>
      </c>
      <c r="F95" s="34">
        <f t="shared" ref="F95" si="60">(F94*(E85+E86+E88)+F38*(E87+E89))/E84</f>
        <v>2.4819740000000001</v>
      </c>
      <c r="G95" s="34">
        <f t="shared" ref="G95" si="61">(G94*(F85+F86+F88)+G38*(F87+F89))/F84</f>
        <v>2.5283960000000008</v>
      </c>
      <c r="H95" s="34">
        <f t="shared" ref="H95:W95" si="62">(H94*(G85+G86+G88)+H38*(G87+G89))/G84</f>
        <v>2.636124678758041</v>
      </c>
      <c r="I95" s="34">
        <f t="shared" si="62"/>
        <v>2.7338648014854905</v>
      </c>
      <c r="J95" s="34">
        <f t="shared" si="62"/>
        <v>2.8287631783892078</v>
      </c>
      <c r="K95" s="34">
        <f t="shared" si="62"/>
        <v>2.9978879024887894</v>
      </c>
      <c r="L95" s="34">
        <f t="shared" si="62"/>
        <v>3.1307186864757455</v>
      </c>
      <c r="M95" s="34">
        <f t="shared" si="62"/>
        <v>3.2613020118669551</v>
      </c>
      <c r="N95" s="34">
        <f t="shared" si="62"/>
        <v>3.3903546058081186</v>
      </c>
      <c r="O95" s="34">
        <f t="shared" si="62"/>
        <v>3.5217462586431192</v>
      </c>
      <c r="P95" s="34">
        <f t="shared" si="62"/>
        <v>3.6410640152135394</v>
      </c>
      <c r="Q95" s="34">
        <f t="shared" si="62"/>
        <v>3.7496925515533617</v>
      </c>
      <c r="R95" s="34">
        <f t="shared" si="62"/>
        <v>3.8477681826306553</v>
      </c>
      <c r="S95" s="34">
        <f t="shared" si="62"/>
        <v>3.935537793317498</v>
      </c>
      <c r="T95" s="34">
        <f t="shared" si="62"/>
        <v>4.0133873742942621</v>
      </c>
      <c r="U95" s="34">
        <f t="shared" si="62"/>
        <v>4.0818628056170629</v>
      </c>
      <c r="V95" s="34">
        <f t="shared" si="62"/>
        <v>4.1415488041551853</v>
      </c>
      <c r="W95" s="34">
        <f t="shared" si="62"/>
        <v>4.1929709941069602</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-6.6690978832047669</v>
      </c>
      <c r="D98" s="115">
        <f t="shared" ref="D98:T98" si="63">((1+D93/100)/((1+D23/100)*(1+D42/100))-1)*100</f>
        <v>-7.194322173366241</v>
      </c>
      <c r="E98" s="115">
        <f t="shared" si="63"/>
        <v>-5.697334787438213</v>
      </c>
      <c r="F98" s="115">
        <f t="shared" si="63"/>
        <v>-2.8305935414681183</v>
      </c>
      <c r="G98" s="115">
        <f t="shared" si="63"/>
        <v>-1.1839247881014203</v>
      </c>
      <c r="H98" s="115">
        <f t="shared" si="63"/>
        <v>-0.57786260077836715</v>
      </c>
      <c r="I98" s="115">
        <f t="shared" si="63"/>
        <v>-0.58586707507780611</v>
      </c>
      <c r="J98" s="115">
        <f t="shared" si="63"/>
        <v>-0.65709608555241106</v>
      </c>
      <c r="K98" s="115">
        <f t="shared" si="63"/>
        <v>-0.71312532598940548</v>
      </c>
      <c r="L98" s="115">
        <f t="shared" si="63"/>
        <v>-0.53738099725849642</v>
      </c>
      <c r="M98" s="115">
        <f t="shared" si="63"/>
        <v>-0.35153314899021293</v>
      </c>
      <c r="N98" s="115">
        <f t="shared" si="63"/>
        <v>0.24847899524702566</v>
      </c>
      <c r="O98" s="115">
        <f t="shared" si="63"/>
        <v>0.40886423598296417</v>
      </c>
      <c r="P98" s="115">
        <f t="shared" si="63"/>
        <v>0.50498283825737289</v>
      </c>
      <c r="Q98" s="115">
        <f t="shared" si="63"/>
        <v>0.59072218398266152</v>
      </c>
      <c r="R98" s="115">
        <f t="shared" si="63"/>
        <v>0.66622253581181123</v>
      </c>
      <c r="S98" s="115">
        <f t="shared" si="63"/>
        <v>0.60747275431065617</v>
      </c>
      <c r="T98" s="115">
        <f t="shared" si="63"/>
        <v>0.62650999109532535</v>
      </c>
      <c r="U98" s="115">
        <f>((1+U93/100)/((1+U23/100)*(1+U42/100))-1)*100</f>
        <v>0.62327225020339938</v>
      </c>
      <c r="V98" s="115">
        <f t="shared" ref="V98:W98" si="64">((1+V93/100)/((1+V23/100)*(1+V42/100))-1)*100</f>
        <v>0.59443169179504984</v>
      </c>
      <c r="W98" s="115">
        <f t="shared" si="64"/>
        <v>0.74926305063456322</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116.84076690673828</v>
      </c>
      <c r="D104" s="34">
        <v>111.61799621582031</v>
      </c>
      <c r="E104" s="34">
        <v>107.65208435058594</v>
      </c>
      <c r="F104" s="34">
        <v>105.50792694091797</v>
      </c>
      <c r="G104" s="34">
        <v>104.97699737548828</v>
      </c>
      <c r="H104" s="34">
        <v>103.73914337158203</v>
      </c>
      <c r="I104" s="34">
        <v>101.93830108642578</v>
      </c>
      <c r="J104" s="34">
        <v>99.41241455078125</v>
      </c>
      <c r="K104" s="34">
        <v>96.729522705078125</v>
      </c>
      <c r="L104" s="34">
        <v>94.157051086425781</v>
      </c>
      <c r="M104" s="34">
        <v>91.739288330078125</v>
      </c>
      <c r="N104" s="34">
        <v>90.119316101074219</v>
      </c>
      <c r="O104" s="34">
        <v>88.881301879882813</v>
      </c>
      <c r="P104" s="34">
        <v>87.957733154296875</v>
      </c>
      <c r="Q104" s="34">
        <v>87.323997497558594</v>
      </c>
      <c r="R104" s="34">
        <v>86.954612731933594</v>
      </c>
      <c r="S104" s="34">
        <v>86.720420837402344</v>
      </c>
      <c r="T104" s="34">
        <v>86.686477661132813</v>
      </c>
      <c r="U104" s="34">
        <v>86.8319091796875</v>
      </c>
      <c r="V104" s="34">
        <v>87.115188598632813</v>
      </c>
      <c r="W104" s="34">
        <v>87.730148315429688</v>
      </c>
      <c r="X104" s="34"/>
      <c r="Y104" s="34"/>
      <c r="Z104" s="34"/>
    </row>
    <row r="105" spans="1:54" s="5" customFormat="1" ht="12.75" x14ac:dyDescent="0.2">
      <c r="A105" s="26"/>
      <c r="B105" s="26" t="s">
        <v>132</v>
      </c>
      <c r="C105" s="1">
        <v>1.9449599981307983</v>
      </c>
      <c r="D105" s="1">
        <v>2.2273135185241699</v>
      </c>
      <c r="E105" s="1">
        <v>2.3933341503143311</v>
      </c>
      <c r="F105" s="1">
        <v>2.4819738864898682</v>
      </c>
      <c r="G105" s="1">
        <v>2.5283956527709961</v>
      </c>
      <c r="H105" s="1">
        <v>2.6361241340637207</v>
      </c>
      <c r="I105" s="1">
        <v>2.7338643074035645</v>
      </c>
      <c r="J105" s="1">
        <v>2.8287622928619385</v>
      </c>
      <c r="K105" s="1">
        <v>2.9978866577148438</v>
      </c>
      <c r="L105" s="1">
        <v>3.1307168006896973</v>
      </c>
      <c r="M105" s="1">
        <v>3.2612996101379395</v>
      </c>
      <c r="N105" s="1">
        <v>3.3903515338897705</v>
      </c>
      <c r="O105" s="1">
        <v>3.5217432975769043</v>
      </c>
      <c r="P105" s="1">
        <v>3.6410605907440186</v>
      </c>
      <c r="Q105" s="1">
        <v>3.7496893405914307</v>
      </c>
      <c r="R105" s="1">
        <v>3.8477647304534912</v>
      </c>
      <c r="S105" s="1">
        <v>3.9355344772338867</v>
      </c>
      <c r="T105" s="1">
        <v>4.0133843421936035</v>
      </c>
      <c r="U105" s="1">
        <v>4.0818600654602051</v>
      </c>
      <c r="V105" s="1">
        <v>4.1415462493896484</v>
      </c>
      <c r="W105" s="1">
        <v>4.1929688453674316</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116.84076690673828</v>
      </c>
      <c r="D109" s="34">
        <v>111.61799621582031</v>
      </c>
      <c r="E109" s="34">
        <v>107.65208435058594</v>
      </c>
      <c r="F109" s="34">
        <v>105.50792694091797</v>
      </c>
      <c r="G109" s="34">
        <v>104.90052032470703</v>
      </c>
      <c r="H109" s="34">
        <v>103.93359375</v>
      </c>
      <c r="I109" s="34">
        <v>102.76080322265625</v>
      </c>
      <c r="J109" s="34">
        <v>101.22218322753906</v>
      </c>
      <c r="K109" s="34">
        <v>99.339599609375</v>
      </c>
      <c r="L109" s="34">
        <v>97.119529724121094</v>
      </c>
      <c r="M109" s="34">
        <v>94.566413879394531</v>
      </c>
      <c r="N109" s="34">
        <v>92.385940551757813</v>
      </c>
      <c r="O109" s="34">
        <v>90.414451599121094</v>
      </c>
      <c r="P109" s="34">
        <v>88.577598571777344</v>
      </c>
      <c r="Q109" s="34">
        <v>87.317314147949219</v>
      </c>
      <c r="R109" s="34">
        <v>86.320320129394531</v>
      </c>
      <c r="S109" s="34">
        <v>85.457725524902344</v>
      </c>
      <c r="T109" s="34">
        <v>84.794578552246094</v>
      </c>
      <c r="U109" s="34">
        <v>84.310371398925781</v>
      </c>
      <c r="V109" s="34">
        <v>83.964370727539063</v>
      </c>
      <c r="W109" s="34">
        <v>83.944938659667969</v>
      </c>
      <c r="X109" s="34"/>
      <c r="Y109" s="34"/>
      <c r="Z109" s="34"/>
    </row>
    <row r="110" spans="1:54" x14ac:dyDescent="0.2">
      <c r="B110" s="26" t="s">
        <v>132</v>
      </c>
      <c r="C110" s="1">
        <v>1.9449599981307983</v>
      </c>
      <c r="D110" s="1">
        <v>2.2273135185241699</v>
      </c>
      <c r="E110" s="1">
        <v>2.3933341503143311</v>
      </c>
      <c r="F110" s="1">
        <v>2.4819738864898682</v>
      </c>
      <c r="G110" s="1">
        <v>2.5283956527709961</v>
      </c>
      <c r="H110" s="1">
        <v>2.637753963470459</v>
      </c>
      <c r="I110" s="1">
        <v>2.7390584945678711</v>
      </c>
      <c r="J110" s="1">
        <v>2.8397426605224609</v>
      </c>
      <c r="K110" s="1">
        <v>2.9391319751739502</v>
      </c>
      <c r="L110" s="1">
        <v>3.0367598533630371</v>
      </c>
      <c r="M110" s="1">
        <v>3.1322636604309082</v>
      </c>
      <c r="N110" s="1">
        <v>3.3034601211547852</v>
      </c>
      <c r="O110" s="1">
        <v>3.4405224323272705</v>
      </c>
      <c r="P110" s="1">
        <v>3.5630040168762207</v>
      </c>
      <c r="Q110" s="1">
        <v>3.6729121208190918</v>
      </c>
      <c r="R110" s="1">
        <v>3.772991418838501</v>
      </c>
      <c r="S110" s="1">
        <v>3.8634028434753418</v>
      </c>
      <c r="T110" s="1">
        <v>3.9444262981414795</v>
      </c>
      <c r="U110" s="1">
        <v>4.0165071487426758</v>
      </c>
      <c r="V110" s="1">
        <v>4.0801281929016113</v>
      </c>
      <c r="W110" s="1">
        <v>4.1356978416442871</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ES</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116.8408</v>
      </c>
      <c r="D11" s="83">
        <f>'Adjust. no safeguard'!D57</f>
        <v>111.62002928145338</v>
      </c>
      <c r="E11" s="83">
        <f>'Adjust. no safeguard'!E57</f>
        <v>107.65412775375809</v>
      </c>
      <c r="F11" s="83">
        <f>'Adjust. no safeguard'!F57</f>
        <v>105.5099779146238</v>
      </c>
      <c r="G11" s="83">
        <f>'Adjust. no safeguard'!G57</f>
        <v>104.97907714628217</v>
      </c>
      <c r="H11" s="83">
        <f>'Adjust. no safeguard'!H57</f>
        <v>103.74121471198744</v>
      </c>
      <c r="I11" s="83">
        <f>'Adjust. no safeguard'!I57</f>
        <v>101.94036868200992</v>
      </c>
      <c r="J11" s="83">
        <f>'Adjust. no safeguard'!J57</f>
        <v>99.41445907477997</v>
      </c>
      <c r="K11" s="83">
        <f>'Adjust. no safeguard'!K57</f>
        <v>96.170147465660378</v>
      </c>
      <c r="L11" s="83">
        <f>'Adjust. no safeguard'!L57</f>
        <v>93.018638969876108</v>
      </c>
      <c r="M11" s="83">
        <f>'Adjust. no safeguard'!M57</f>
        <v>90.007057094889277</v>
      </c>
      <c r="N11" s="83">
        <f>'Adjust. no safeguard'!N57</f>
        <v>87.77045507144004</v>
      </c>
      <c r="O11" s="83">
        <f>'Adjust. no safeguard'!O57</f>
        <v>85.89690252080409</v>
      </c>
      <c r="P11" s="83">
        <f>'Adjust. no safeguard'!P57</f>
        <v>84.320118533898068</v>
      </c>
      <c r="Q11" s="83">
        <f>'Adjust. no safeguard'!Q57</f>
        <v>83.015360076418162</v>
      </c>
      <c r="R11" s="83">
        <f>'Adjust. no safeguard'!R57</f>
        <v>81.957025752459728</v>
      </c>
      <c r="S11" s="83">
        <f>'Adjust. no safeguard'!S57</f>
        <v>81.023445472416014</v>
      </c>
      <c r="T11" s="83">
        <f>'Adjust. no safeguard'!T57</f>
        <v>80.276386740036898</v>
      </c>
      <c r="U11" s="83">
        <f>'Adjust. no safeguard'!U57</f>
        <v>79.69673458743226</v>
      </c>
      <c r="V11" s="83">
        <f>'Adjust. no safeguard'!V57</f>
        <v>79.245422907480503</v>
      </c>
      <c r="W11" s="83">
        <f>'Adjust. no safeguard'!W57</f>
        <v>79.100730778663831</v>
      </c>
    </row>
    <row r="12" spans="1:50" s="26" customFormat="1" ht="11.25" x14ac:dyDescent="0.2">
      <c r="A12" s="29"/>
      <c r="C12" s="29"/>
      <c r="E12" s="43"/>
      <c r="F12" s="29"/>
    </row>
    <row r="13" spans="1:50" s="67" customFormat="1" ht="11.25" x14ac:dyDescent="0.2">
      <c r="B13" s="90" t="s">
        <v>152</v>
      </c>
    </row>
    <row r="14" spans="1:50" x14ac:dyDescent="0.2">
      <c r="B14" s="5" t="s">
        <v>153</v>
      </c>
      <c r="C14" s="83">
        <f>C$11</f>
        <v>116.8408</v>
      </c>
      <c r="D14" s="83">
        <f t="shared" ref="D14:J18" si="0">D$11</f>
        <v>111.62002928145338</v>
      </c>
      <c r="E14" s="83">
        <f t="shared" si="0"/>
        <v>107.65412775375809</v>
      </c>
      <c r="F14" s="83">
        <f t="shared" si="0"/>
        <v>105.5099779146238</v>
      </c>
      <c r="G14" s="83">
        <f t="shared" si="0"/>
        <v>104.97907714628217</v>
      </c>
      <c r="H14" s="83">
        <f t="shared" si="0"/>
        <v>103.74121471198744</v>
      </c>
      <c r="I14" s="83">
        <f t="shared" si="0"/>
        <v>101.94036868200992</v>
      </c>
      <c r="J14" s="83">
        <f>J$11</f>
        <v>99.41445907477997</v>
      </c>
      <c r="K14" s="83">
        <f>IF('Criteria results'!$F$5=4,K$11+'Input data'!C74,K$11)</f>
        <v>89.741863774254128</v>
      </c>
      <c r="L14" s="83">
        <f>IF('Criteria results'!$F$5=4,L$11+'Input data'!D74,L$11)</f>
        <v>84.080559135891733</v>
      </c>
      <c r="M14" s="83">
        <f>IF('Criteria results'!$F$5=4,M$11+'Input data'!E74,M$11)</f>
        <v>79.221748256998652</v>
      </c>
      <c r="N14" s="83">
        <f>IF('Criteria results'!$F$5=4,N$11+'Input data'!F74,N$11+'Input data'!C74)</f>
        <v>75.289688775053321</v>
      </c>
      <c r="O14" s="83">
        <f>IF('Criteria results'!$F$5=4,O$11+'Input data'!G74,O$11+'Input data'!D74)</f>
        <v>72.186628778128309</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116.8408</v>
      </c>
      <c r="D15" s="83">
        <f t="shared" si="0"/>
        <v>111.62002928145338</v>
      </c>
      <c r="E15" s="83">
        <f t="shared" si="0"/>
        <v>107.65412775375809</v>
      </c>
      <c r="F15" s="83">
        <f t="shared" si="0"/>
        <v>105.5099779146238</v>
      </c>
      <c r="G15" s="83">
        <f t="shared" si="0"/>
        <v>104.97907714628217</v>
      </c>
      <c r="H15" s="83">
        <f t="shared" si="0"/>
        <v>103.74121471198744</v>
      </c>
      <c r="I15" s="83">
        <f t="shared" si="0"/>
        <v>101.94036868200992</v>
      </c>
      <c r="J15" s="83">
        <f t="shared" si="0"/>
        <v>99.41445907477997</v>
      </c>
      <c r="K15" s="83">
        <f>IF('Criteria results'!$F$5=4,K$11+'Input data'!C75,K$11)</f>
        <v>93.42895178694944</v>
      </c>
      <c r="L15" s="83">
        <f>IF('Criteria results'!$F$5=4,L$11+'Input data'!D75,L$11)</f>
        <v>89.232109428860483</v>
      </c>
      <c r="M15" s="83">
        <f>IF('Criteria results'!$F$5=4,M$11+'Input data'!E75,M$11)</f>
        <v>85.569877529459589</v>
      </c>
      <c r="N15" s="83">
        <f>IF('Criteria results'!$F$5=4,N$11+'Input data'!F75,N$11+'Input data'!C75)</f>
        <v>82.667702385893165</v>
      </c>
      <c r="O15" s="83">
        <f>IF('Criteria results'!$F$5=4,O$11+'Input data'!G75,O$11+'Input data'!D75)</f>
        <v>80.208311517386122</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116.8408</v>
      </c>
      <c r="D16" s="83">
        <f t="shared" si="0"/>
        <v>111.62002928145338</v>
      </c>
      <c r="E16" s="83">
        <f t="shared" si="0"/>
        <v>107.65412775375809</v>
      </c>
      <c r="F16" s="83">
        <f t="shared" si="0"/>
        <v>105.5099779146238</v>
      </c>
      <c r="G16" s="83">
        <f t="shared" si="0"/>
        <v>104.97907714628217</v>
      </c>
      <c r="H16" s="83">
        <f t="shared" si="0"/>
        <v>103.74121471198744</v>
      </c>
      <c r="I16" s="83">
        <f t="shared" si="0"/>
        <v>101.94036868200992</v>
      </c>
      <c r="J16" s="83">
        <f t="shared" si="0"/>
        <v>99.41445907477997</v>
      </c>
      <c r="K16" s="83">
        <f>K11</f>
        <v>96.170147465660378</v>
      </c>
      <c r="L16" s="83">
        <f t="shared" ref="L16:O16" si="2">L11</f>
        <v>93.018638969876108</v>
      </c>
      <c r="M16" s="83">
        <f t="shared" si="2"/>
        <v>90.007057094889277</v>
      </c>
      <c r="N16" s="83">
        <f t="shared" si="2"/>
        <v>87.77045507144004</v>
      </c>
      <c r="O16" s="83">
        <f t="shared" si="2"/>
        <v>85.89690252080409</v>
      </c>
      <c r="P16" s="83" t="str">
        <f>IF('Criteria results'!$F$5=4,"",Stochastic!P$11)</f>
        <v/>
      </c>
      <c r="Q16" s="83" t="str">
        <f>IF('Criteria results'!$F$5=4,"",Stochastic!Q$11)</f>
        <v/>
      </c>
      <c r="R16" s="83" t="str">
        <f>IF('Criteria results'!$F$5=4,"",Stochastic!R$11)</f>
        <v/>
      </c>
    </row>
    <row r="17" spans="2:18" x14ac:dyDescent="0.2">
      <c r="B17" s="5" t="s">
        <v>155</v>
      </c>
      <c r="C17" s="83">
        <f t="shared" si="1"/>
        <v>116.8408</v>
      </c>
      <c r="D17" s="83">
        <f t="shared" si="0"/>
        <v>111.62002928145338</v>
      </c>
      <c r="E17" s="83">
        <f t="shared" si="0"/>
        <v>107.65412775375809</v>
      </c>
      <c r="F17" s="83">
        <f t="shared" si="0"/>
        <v>105.5099779146238</v>
      </c>
      <c r="G17" s="83">
        <f t="shared" si="0"/>
        <v>104.97907714628217</v>
      </c>
      <c r="H17" s="83">
        <f t="shared" si="0"/>
        <v>103.74121471198744</v>
      </c>
      <c r="I17" s="83">
        <f t="shared" si="0"/>
        <v>101.94036868200992</v>
      </c>
      <c r="J17" s="83">
        <f t="shared" si="0"/>
        <v>99.41445907477997</v>
      </c>
      <c r="K17" s="83">
        <f>IF('Criteria results'!$F$5=4,K$11+'Input data'!C76,K$11)</f>
        <v>98.82964758773069</v>
      </c>
      <c r="L17" s="83">
        <f>IF('Criteria results'!$F$5=4,L$11+'Input data'!D76,L$11)</f>
        <v>96.723617912747201</v>
      </c>
      <c r="M17" s="83">
        <f>IF('Criteria results'!$F$5=4,M$11+'Input data'!E76,M$11)</f>
        <v>94.514839077311152</v>
      </c>
      <c r="N17" s="83">
        <f>IF('Criteria results'!$F$5=4,N$11+'Input data'!F76,N$11+'Input data'!C76)</f>
        <v>93.156105706205665</v>
      </c>
      <c r="O17" s="83">
        <f>IF('Criteria results'!$F$5=4,O$11+'Input data'!G76,O$11+'Input data'!D76)</f>
        <v>91.96306463017909</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116.8408</v>
      </c>
      <c r="D18" s="83">
        <f t="shared" si="0"/>
        <v>111.62002928145338</v>
      </c>
      <c r="E18" s="83">
        <f t="shared" si="0"/>
        <v>107.65412775375809</v>
      </c>
      <c r="F18" s="83">
        <f t="shared" si="0"/>
        <v>105.5099779146238</v>
      </c>
      <c r="G18" s="83">
        <f t="shared" si="0"/>
        <v>104.97907714628217</v>
      </c>
      <c r="H18" s="83">
        <f t="shared" si="0"/>
        <v>103.74121471198744</v>
      </c>
      <c r="I18" s="83">
        <f t="shared" si="0"/>
        <v>101.94036868200992</v>
      </c>
      <c r="J18" s="83">
        <f t="shared" si="0"/>
        <v>99.41445907477997</v>
      </c>
      <c r="K18" s="83">
        <f>IF('Criteria results'!$F$5=4,K$11+'Input data'!C77,K$11)</f>
        <v>102.870983647301</v>
      </c>
      <c r="L18" s="83">
        <f>IF('Criteria results'!$F$5=4,L$11+'Input data'!D77,L$11)</f>
        <v>102.28468358657533</v>
      </c>
      <c r="M18" s="83">
        <f>IF('Criteria results'!$F$5=4,M$11+'Input data'!E77,M$11)</f>
        <v>101.41387167008459</v>
      </c>
      <c r="N18" s="83">
        <f>IF('Criteria results'!$F$5=4,N$11+'Input data'!F77,N$11+'Input data'!C77)</f>
        <v>101.15217656802207</v>
      </c>
      <c r="O18" s="83">
        <f>IF('Criteria results'!$F$5=4,O$11+'Input data'!G77,O$11+'Input data'!D77)</f>
        <v>100.9825501038119</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101.94036868200992</v>
      </c>
      <c r="D22" s="83">
        <f>IF('Criteria results'!$F$5=4,J$11,M$11)</f>
        <v>99.41445907477997</v>
      </c>
      <c r="E22" s="83">
        <f>IF('Criteria results'!$F$5=4,K$11+'Input data'!C74,N$11+'Input data'!C74)</f>
        <v>89.741863774254128</v>
      </c>
      <c r="F22" s="83">
        <f>IF('Criteria results'!$F$5=4,L$11+'Input data'!D74,O$11+'Input data'!D74)</f>
        <v>84.080559135891733</v>
      </c>
      <c r="G22" s="83">
        <f>IF('Criteria results'!$F$5=4,M$11+'Input data'!E74,P$11+'Input data'!E74)</f>
        <v>79.221748256998652</v>
      </c>
      <c r="H22" s="83">
        <f>IF('Criteria results'!$F$5=4,N$11+'Input data'!F74,Q$11+'Input data'!F74)</f>
        <v>75.289688775053321</v>
      </c>
      <c r="I22" s="83">
        <f>IF('Criteria results'!$F$5=4,O$11+'Input data'!G74,R$11+'Input data'!G74)</f>
        <v>72.186628778128309</v>
      </c>
      <c r="P22" s="83"/>
      <c r="Q22" s="83"/>
      <c r="R22" s="83"/>
    </row>
    <row r="23" spans="2:18" x14ac:dyDescent="0.2">
      <c r="B23" s="5" t="s">
        <v>158</v>
      </c>
      <c r="C23" s="83">
        <v>0</v>
      </c>
      <c r="D23" s="83">
        <v>0</v>
      </c>
      <c r="E23" s="83">
        <f>'Input data'!C75-'Input data'!C74</f>
        <v>3.6870880126953125</v>
      </c>
      <c r="F23" s="83">
        <f>'Input data'!D75-'Input data'!D74</f>
        <v>5.15155029296875</v>
      </c>
      <c r="G23" s="83">
        <f>'Input data'!E75-'Input data'!E74</f>
        <v>6.3481292724609375</v>
      </c>
      <c r="H23" s="83">
        <f>'Input data'!F75-'Input data'!F74</f>
        <v>7.3780136108398438</v>
      </c>
      <c r="I23" s="83">
        <f>'Input data'!G75-'Input data'!G74</f>
        <v>8.0216827392578125</v>
      </c>
      <c r="P23" s="83"/>
      <c r="Q23" s="83"/>
      <c r="R23" s="83"/>
    </row>
    <row r="24" spans="2:18" x14ac:dyDescent="0.2">
      <c r="B24" s="5" t="s">
        <v>159</v>
      </c>
      <c r="C24" s="83">
        <v>0</v>
      </c>
      <c r="D24" s="83">
        <v>0</v>
      </c>
      <c r="E24" s="83">
        <f>-'Input data'!C75</f>
        <v>2.7411956787109375</v>
      </c>
      <c r="F24" s="83">
        <f>-'Input data'!D75</f>
        <v>3.786529541015625</v>
      </c>
      <c r="G24" s="83">
        <f>-'Input data'!E75</f>
        <v>4.4371795654296875</v>
      </c>
      <c r="H24" s="83">
        <f>-'Input data'!F75</f>
        <v>5.102752685546875</v>
      </c>
      <c r="I24" s="83">
        <f>-'Input data'!G75</f>
        <v>5.6885910034179688</v>
      </c>
      <c r="P24" s="83"/>
      <c r="Q24" s="83"/>
      <c r="R24" s="83"/>
    </row>
    <row r="25" spans="2:18" x14ac:dyDescent="0.2">
      <c r="B25" s="5" t="s">
        <v>160</v>
      </c>
      <c r="C25" s="83">
        <v>0</v>
      </c>
      <c r="D25" s="83">
        <v>0</v>
      </c>
      <c r="E25" s="83">
        <f>'Input data'!C76</f>
        <v>2.6595001220703125</v>
      </c>
      <c r="F25" s="83">
        <f>'Input data'!D76</f>
        <v>3.7049789428710938</v>
      </c>
      <c r="G25" s="83">
        <f>'Input data'!E76</f>
        <v>4.507781982421875</v>
      </c>
      <c r="H25" s="83">
        <f>'Input data'!F76</f>
        <v>5.385650634765625</v>
      </c>
      <c r="I25" s="83">
        <f>'Input data'!G76</f>
        <v>6.066162109375</v>
      </c>
      <c r="P25" s="83"/>
      <c r="Q25" s="83"/>
      <c r="R25" s="83"/>
    </row>
    <row r="26" spans="2:18" x14ac:dyDescent="0.2">
      <c r="B26" s="5" t="s">
        <v>161</v>
      </c>
      <c r="C26" s="83">
        <v>0</v>
      </c>
      <c r="D26" s="83">
        <v>0</v>
      </c>
      <c r="E26" s="83">
        <f>'Input data'!C77-'Input data'!C76</f>
        <v>4.0413360595703125</v>
      </c>
      <c r="F26" s="83">
        <f>'Input data'!D77-'Input data'!D76</f>
        <v>5.561065673828125</v>
      </c>
      <c r="G26" s="83">
        <f>'Input data'!E77-'Input data'!E76</f>
        <v>6.8990325927734375</v>
      </c>
      <c r="H26" s="83">
        <f>'Input data'!F77-'Input data'!F76</f>
        <v>7.9960708618164063</v>
      </c>
      <c r="I26" s="83">
        <f>'Input data'!G77-'Input data'!G76</f>
        <v>9.0194854736328125</v>
      </c>
      <c r="P26" s="83"/>
      <c r="Q26" s="83"/>
      <c r="R26" s="83"/>
    </row>
    <row r="27" spans="2:18" x14ac:dyDescent="0.2">
      <c r="B27" s="5" t="s">
        <v>153</v>
      </c>
      <c r="C27" s="83">
        <f>IF('Criteria results'!$F$5=4,I$11,L$11)</f>
        <v>101.94036868200992</v>
      </c>
      <c r="D27" s="83">
        <f>IF('Criteria results'!$F$5=4,J$11,M$11)</f>
        <v>99.41445907477997</v>
      </c>
      <c r="E27" s="83">
        <f>IF('Criteria results'!$F$5=4,K$11+'Input data'!C74,N$11+'Input data'!C74)</f>
        <v>89.741863774254128</v>
      </c>
      <c r="F27" s="83">
        <f>IF('Criteria results'!$F$5=4,L$11+'Input data'!D74,O$11+'Input data'!D74)</f>
        <v>84.080559135891733</v>
      </c>
      <c r="G27" s="83">
        <f>IF('Criteria results'!$F$5=4,M$11+'Input data'!E74,P$11+'Input data'!E74)</f>
        <v>79.221748256998652</v>
      </c>
      <c r="H27" s="83">
        <f>IF('Criteria results'!$F$5=4,N$11+'Input data'!F74,Q$11+'Input data'!F74)</f>
        <v>75.289688775053321</v>
      </c>
      <c r="I27" s="83">
        <f>IF('Criteria results'!$F$5=4,O$11+'Input data'!G74,R$11+'Input data'!G74)</f>
        <v>72.186628778128309</v>
      </c>
    </row>
    <row r="28" spans="2:18" x14ac:dyDescent="0.2">
      <c r="B28" s="5" t="s">
        <v>154</v>
      </c>
      <c r="C28" s="83">
        <f>IF('Criteria results'!$F$5=4,I$11,L$11)</f>
        <v>101.94036868200992</v>
      </c>
      <c r="D28" s="83">
        <f>IF('Criteria results'!$F$5=4,J$11,M$11)</f>
        <v>99.41445907477997</v>
      </c>
      <c r="E28" s="83">
        <f>IF('Criteria results'!$F$5=4,K$11+'Input data'!C75,N$11+'Input data'!C75)</f>
        <v>93.42895178694944</v>
      </c>
      <c r="F28" s="83">
        <f>IF('Criteria results'!$F$5=4,L$11+'Input data'!D75,O$11+'Input data'!D75)</f>
        <v>89.232109428860483</v>
      </c>
      <c r="G28" s="83">
        <f>IF('Criteria results'!$F$5=4,M$11+'Input data'!E75,P$11+'Input data'!E75)</f>
        <v>85.569877529459589</v>
      </c>
      <c r="H28" s="83">
        <f>IF('Criteria results'!$F$5=4,N$11+'Input data'!F75,Q$11+'Input data'!F75)</f>
        <v>82.667702385893165</v>
      </c>
      <c r="I28" s="83">
        <f>IF('Criteria results'!$F$5=4,O$11+'Input data'!G75,R$11+'Input data'!G75)</f>
        <v>80.208311517386122</v>
      </c>
      <c r="P28" s="83"/>
      <c r="Q28" s="83"/>
      <c r="R28" s="83"/>
    </row>
    <row r="29" spans="2:18" x14ac:dyDescent="0.2">
      <c r="B29" s="5" t="s">
        <v>162</v>
      </c>
      <c r="C29" s="83">
        <f>IF('Criteria results'!$F$5=4,I$11,L$11)</f>
        <v>101.94036868200992</v>
      </c>
      <c r="D29" s="83">
        <f>IF('Criteria results'!$F$5=4,J$11,M$11)</f>
        <v>99.41445907477997</v>
      </c>
      <c r="E29" s="83">
        <f>IF('Criteria results'!$F$5=4,K$11,N$11)</f>
        <v>96.170147465660378</v>
      </c>
      <c r="F29" s="83">
        <f>IF('Criteria results'!$F$5=4,L$11,O$11)</f>
        <v>93.018638969876108</v>
      </c>
      <c r="G29" s="83">
        <f>IF('Criteria results'!$F$5=4,M$11,P$11)</f>
        <v>90.007057094889277</v>
      </c>
      <c r="H29" s="83">
        <f>IF('Criteria results'!$F$5=4,N$11,Q$11)</f>
        <v>87.77045507144004</v>
      </c>
      <c r="I29" s="83">
        <f>IF('Criteria results'!$F$5=4,O$11,R$11)</f>
        <v>85.89690252080409</v>
      </c>
      <c r="P29" s="83"/>
      <c r="Q29" s="83"/>
      <c r="R29" s="83"/>
    </row>
    <row r="30" spans="2:18" x14ac:dyDescent="0.2">
      <c r="B30" s="5" t="s">
        <v>155</v>
      </c>
      <c r="C30" s="83">
        <f>IF('Criteria results'!$F$5=4,I$11,L$11)</f>
        <v>101.94036868200992</v>
      </c>
      <c r="D30" s="83">
        <f>IF('Criteria results'!$F$5=4,J$11,M$11)</f>
        <v>99.41445907477997</v>
      </c>
      <c r="E30" s="83">
        <f>IF('Criteria results'!$F$5=4,K$11+'Input data'!C76,N$11+'Input data'!C76)</f>
        <v>98.82964758773069</v>
      </c>
      <c r="F30" s="83">
        <f>IF('Criteria results'!$F$5=4,L$11+'Input data'!D76,O$11+'Input data'!D76)</f>
        <v>96.723617912747201</v>
      </c>
      <c r="G30" s="83">
        <f>IF('Criteria results'!$F$5=4,M$11+'Input data'!E76,P$11+'Input data'!E76)</f>
        <v>94.514839077311152</v>
      </c>
      <c r="H30" s="83">
        <f>IF('Criteria results'!$F$5=4,N$11+'Input data'!F76,Q$11+'Input data'!F76)</f>
        <v>93.156105706205665</v>
      </c>
      <c r="I30" s="83">
        <f>IF('Criteria results'!$F$5=4,O$11+'Input data'!G76,R$11+'Input data'!G76)</f>
        <v>91.96306463017909</v>
      </c>
      <c r="J30" s="83"/>
      <c r="K30" s="83"/>
      <c r="L30" s="83"/>
      <c r="M30" s="83"/>
      <c r="N30" s="83"/>
      <c r="O30" s="83"/>
    </row>
    <row r="31" spans="2:18" x14ac:dyDescent="0.2">
      <c r="B31" s="5" t="s">
        <v>156</v>
      </c>
      <c r="C31" s="83">
        <f>IF('Criteria results'!$F$5=4,I$11,L$11)</f>
        <v>101.94036868200992</v>
      </c>
      <c r="D31" s="83">
        <f>IF('Criteria results'!$F$5=4,J$11,M$11)</f>
        <v>99.41445907477997</v>
      </c>
      <c r="E31" s="83">
        <f>IF('Criteria results'!$F$5=4,K$11+'Input data'!C77,N$11+'Input data'!C77)</f>
        <v>102.870983647301</v>
      </c>
      <c r="F31" s="83">
        <f>IF('Criteria results'!$F$5=4,L$11+'Input data'!D77,O$11+'Input data'!D77)</f>
        <v>102.28468358657533</v>
      </c>
      <c r="G31" s="83">
        <f>IF('Criteria results'!$F$5=4,M$11+'Input data'!E77,P$11+'Input data'!E77)</f>
        <v>101.41387167008459</v>
      </c>
      <c r="H31" s="83">
        <f>IF('Criteria results'!$F$5=4,N$11+'Input data'!F77,Q$11+'Input data'!F77)</f>
        <v>101.15217656802207</v>
      </c>
      <c r="I31" s="83">
        <f>IF('Criteria results'!$F$5=4,O$11+'Input data'!G77,R$11+'Input data'!G77)</f>
        <v>100.9825501038119</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107.65412775375809</v>
      </c>
      <c r="G5" s="332">
        <f ca="1">INDEX(OFFSET('Adjustment scenario'!$D$1:$W$1,$D5-1,0),MATCH(G$4,'Adjustment scenario'!$D$10:$W$10,0))</f>
        <v>105.5099779146238</v>
      </c>
      <c r="H5" s="332">
        <f ca="1">INDEX(OFFSET('Adjustment scenario'!$D$1:$W$1,$D5-1,0),MATCH(H$4,'Adjustment scenario'!$D$10:$W$10,0))</f>
        <v>104.97907714628217</v>
      </c>
      <c r="I5" s="332">
        <f ca="1">INDEX(OFFSET('Adjustment scenario'!$D$1:$W$1,$D5-1,0),MATCH(I$4,'Adjustment scenario'!$D$10:$W$10,0))</f>
        <v>103.74121471198744</v>
      </c>
      <c r="J5" s="332">
        <f ca="1">INDEX(OFFSET('Adjustment scenario'!$D$1:$W$1,$D5-1,0),MATCH(J$4,'Adjustment scenario'!$D$10:$W$10,0))</f>
        <v>101.94036868200992</v>
      </c>
      <c r="K5" s="332">
        <f ca="1">INDEX(OFFSET('Adjustment scenario'!$D$1:$W$1,$D5-1,0),MATCH(K$4,'Adjustment scenario'!$D$10:$W$10,0))</f>
        <v>99.41445907477997</v>
      </c>
      <c r="L5" s="332">
        <f ca="1">INDEX(OFFSET('Adjustment scenario'!$D$1:$W$1,$D5-1,0),MATCH(L$4,'Adjustment scenario'!$D$10:$W$10,0))</f>
        <v>96.170147465660378</v>
      </c>
      <c r="M5" s="332">
        <f ca="1">INDEX(OFFSET('Adjustment scenario'!$D$1:$W$1,$D5-1,0),MATCH(M$4,'Adjustment scenario'!$D$10:$W$10,0))</f>
        <v>93.018638969876108</v>
      </c>
      <c r="N5" s="332">
        <f ca="1">INDEX(OFFSET('Adjustment scenario'!$D$1:$W$1,$D5-1,0),MATCH(N$4,'Adjustment scenario'!$D$10:$W$10,0))</f>
        <v>90.007057094889277</v>
      </c>
      <c r="O5" s="332">
        <f ca="1">INDEX(OFFSET('Adjustment scenario'!$D$1:$W$1,$D5-1,0),MATCH(O$4,'Adjustment scenario'!$D$10:$W$10,0))</f>
        <v>87.77045507144004</v>
      </c>
      <c r="P5" s="332">
        <f ca="1">INDEX(OFFSET('Adjustment scenario'!$D$1:$W$1,$D5-1,0),MATCH(P$4,'Adjustment scenario'!$D$10:$W$10,0))</f>
        <v>85.89690252080409</v>
      </c>
      <c r="Q5" s="332">
        <f ca="1">INDEX(OFFSET('Adjustment scenario'!$D$1:$W$1,$D5-1,0),MATCH(Q$4,'Adjustment scenario'!$D$10:$W$10,0))</f>
        <v>84.320118533898068</v>
      </c>
      <c r="R5" s="332">
        <f ca="1">INDEX(OFFSET('Adjustment scenario'!$D$1:$W$1,$D5-1,0),MATCH(R$4,'Adjustment scenario'!$D$10:$W$10,0))</f>
        <v>83.015360076418162</v>
      </c>
      <c r="S5" s="332">
        <f ca="1">INDEX(OFFSET('Adjustment scenario'!$D$1:$W$1,$D5-1,0),MATCH(S$4,'Adjustment scenario'!$D$10:$W$10,0))</f>
        <v>81.957025752459728</v>
      </c>
      <c r="T5" s="332">
        <f ca="1">INDEX(OFFSET('Adjustment scenario'!$D$1:$W$1,$D5-1,0),MATCH(T$4,'Adjustment scenario'!$D$10:$W$10,0))</f>
        <v>81.023445472416014</v>
      </c>
      <c r="U5" s="332">
        <f ca="1">INDEX(OFFSET('Adjustment scenario'!$D$1:$W$1,$D5-1,0),MATCH(U$4,'Adjustment scenario'!$D$10:$W$10,0))</f>
        <v>80.276386740036898</v>
      </c>
      <c r="V5" s="332">
        <f ca="1">INDEX(OFFSET('Adjustment scenario'!$D$1:$W$1,$D5-1,0),MATCH(V$4,'Adjustment scenario'!$D$10:$W$10,0))</f>
        <v>79.69673458743226</v>
      </c>
      <c r="W5" s="332">
        <f ca="1">INDEX(OFFSET('Adjustment scenario'!$D$1:$W$1,$D5-1,0),MATCH(W$4,'Adjustment scenario'!$D$10:$W$10,0))</f>
        <v>79.245422907480503</v>
      </c>
      <c r="X5" s="332">
        <f ca="1">INDEX(OFFSET('Adjustment scenario'!$D$1:$W$1,$D5-1,0),MATCH(X$4,'Adjustment scenario'!$D$10:$W$10,0))</f>
        <v>79.100730778663831</v>
      </c>
      <c r="Y5" s="271"/>
    </row>
    <row r="6" spans="1:25" x14ac:dyDescent="0.2">
      <c r="A6" s="271"/>
      <c r="B6" s="339">
        <v>2</v>
      </c>
      <c r="C6" s="343" t="s">
        <v>222</v>
      </c>
      <c r="D6" s="344">
        <v>77</v>
      </c>
      <c r="E6" s="345" t="s">
        <v>221</v>
      </c>
      <c r="F6" s="332">
        <f ca="1">INDEX(OFFSET('Adjustment scenario'!$D$1:$W$1,$D6-1,0),MATCH(F$4,'Adjustment scenario'!$D$10:$W$10,0))</f>
        <v>-3.636221191098254</v>
      </c>
      <c r="G6" s="332">
        <f ca="1">INDEX(OFFSET('Adjustment scenario'!$D$1:$W$1,$D6-1,0),MATCH(G$4,'Adjustment scenario'!$D$10:$W$10,0))</f>
        <v>-2.9820083201233079</v>
      </c>
      <c r="H6" s="332">
        <f ca="1">INDEX(OFFSET('Adjustment scenario'!$D$1:$W$1,$D6-1,0),MATCH(H$4,'Adjustment scenario'!$D$10:$W$10,0))</f>
        <v>-2.3493374451479871</v>
      </c>
      <c r="I6" s="332">
        <f ca="1">INDEX(OFFSET('Adjustment scenario'!$D$1:$W$1,$D6-1,0),MATCH(I$4,'Adjustment scenario'!$D$10:$W$10,0))</f>
        <v>-2.0494929644175564</v>
      </c>
      <c r="J6" s="332">
        <f ca="1">INDEX(OFFSET('Adjustment scenario'!$D$1:$W$1,$D6-1,0),MATCH(J$4,'Adjustment scenario'!$D$10:$W$10,0))</f>
        <v>-1.5514372512779877</v>
      </c>
      <c r="K6" s="332">
        <f ca="1">INDEX(OFFSET('Adjustment scenario'!$D$1:$W$1,$D6-1,0),MATCH(K$4,'Adjustment scenario'!$D$10:$W$10,0))</f>
        <v>-0.92983339264783726</v>
      </c>
      <c r="L6" s="332">
        <f ca="1">INDEX(OFFSET('Adjustment scenario'!$D$1:$W$1,$D6-1,0),MATCH(L$4,'Adjustment scenario'!$D$10:$W$10,0))</f>
        <v>-0.81040971576369714</v>
      </c>
      <c r="M6" s="332">
        <f ca="1">INDEX(OFFSET('Adjustment scenario'!$D$1:$W$1,$D6-1,0),MATCH(M$4,'Adjustment scenario'!$D$10:$W$10,0))</f>
        <v>-0.72695573936587454</v>
      </c>
      <c r="N6" s="332">
        <f ca="1">INDEX(OFFSET('Adjustment scenario'!$D$1:$W$1,$D6-1,0),MATCH(N$4,'Adjustment scenario'!$D$10:$W$10,0))</f>
        <v>-0.68645405529450798</v>
      </c>
      <c r="O6" s="332">
        <f ca="1">INDEX(OFFSET('Adjustment scenario'!$D$1:$W$1,$D6-1,0),MATCH(O$4,'Adjustment scenario'!$D$10:$W$10,0))</f>
        <v>-0.93020841674746624</v>
      </c>
      <c r="P6" s="332">
        <f ca="1">INDEX(OFFSET('Adjustment scenario'!$D$1:$W$1,$D6-1,0),MATCH(P$4,'Adjustment scenario'!$D$10:$W$10,0))</f>
        <v>-1.186980005719116</v>
      </c>
      <c r="Q6" s="332">
        <f ca="1">INDEX(OFFSET('Adjustment scenario'!$D$1:$W$1,$D6-1,0),MATCH(Q$4,'Adjustment scenario'!$D$10:$W$10,0))</f>
        <v>-1.4344015418734832</v>
      </c>
      <c r="R6" s="332">
        <f ca="1">INDEX(OFFSET('Adjustment scenario'!$D$1:$W$1,$D6-1,0),MATCH(R$4,'Adjustment scenario'!$D$10:$W$10,0))</f>
        <v>-1.6668177392171428</v>
      </c>
      <c r="S6" s="332">
        <f ca="1">INDEX(OFFSET('Adjustment scenario'!$D$1:$W$1,$D6-1,0),MATCH(S$4,'Adjustment scenario'!$D$10:$W$10,0))</f>
        <v>-1.8826588455450959</v>
      </c>
      <c r="T6" s="332">
        <f ca="1">INDEX(OFFSET('Adjustment scenario'!$D$1:$W$1,$D6-1,0),MATCH(T$4,'Adjustment scenario'!$D$10:$W$10,0))</f>
        <v>-2.0821128442987034</v>
      </c>
      <c r="U6" s="332">
        <f ca="1">INDEX(OFFSET('Adjustment scenario'!$D$1:$W$1,$D6-1,0),MATCH(U$4,'Adjustment scenario'!$D$10:$W$10,0))</f>
        <v>-2.2776187315958438</v>
      </c>
      <c r="V6" s="332">
        <f ca="1">INDEX(OFFSET('Adjustment scenario'!$D$1:$W$1,$D6-1,0),MATCH(V$4,'Adjustment scenario'!$D$10:$W$10,0))</f>
        <v>-2.4700992232311458</v>
      </c>
      <c r="W6" s="332">
        <f ca="1">INDEX(OFFSET('Adjustment scenario'!$D$1:$W$1,$D6-1,0),MATCH(W$4,'Adjustment scenario'!$D$10:$W$10,0))</f>
        <v>-2.6418958599558562</v>
      </c>
      <c r="X6" s="332">
        <f ca="1">INDEX(OFFSET('Adjustment scenario'!$D$1:$W$1,$D6-1,0),MATCH(X$4,'Adjustment scenario'!$D$10:$W$10,0))</f>
        <v>-2.8517020953726901</v>
      </c>
      <c r="Y6" s="271"/>
    </row>
    <row r="7" spans="1:25" x14ac:dyDescent="0.2">
      <c r="A7" s="271"/>
      <c r="B7" s="339">
        <v>3</v>
      </c>
      <c r="C7" s="343" t="s">
        <v>40</v>
      </c>
      <c r="D7" s="344">
        <v>12</v>
      </c>
      <c r="E7" s="345" t="s">
        <v>223</v>
      </c>
      <c r="F7" s="332">
        <f ca="1">INDEX(OFFSET('Adjustment scenario'!$D$1:$W$1,$D7-1,0),MATCH(F$4,'Adjustment scenario'!$D$10:$W$10,0))</f>
        <v>-1.6308560000000001</v>
      </c>
      <c r="G7" s="332">
        <f ca="1">INDEX(OFFSET('Adjustment scenario'!$D$1:$W$1,$D7-1,0),MATCH(G$4,'Adjustment scenario'!$D$10:$W$10,0))</f>
        <v>-0.84895830000000005</v>
      </c>
      <c r="H7" s="332">
        <f ca="1">INDEX(OFFSET('Adjustment scenario'!$D$1:$W$1,$D7-1,0),MATCH(H$4,'Adjustment scenario'!$D$10:$W$10,0))</f>
        <v>1.1041699999999932E-2</v>
      </c>
      <c r="I7" s="332">
        <f ca="1">INDEX(OFFSET('Adjustment scenario'!$D$1:$W$1,$D7-1,0),MATCH(I$4,'Adjustment scenario'!$D$10:$W$10,0))</f>
        <v>0.87104169999999992</v>
      </c>
      <c r="J7" s="332">
        <f ca="1">INDEX(OFFSET('Adjustment scenario'!$D$1:$W$1,$D7-1,0),MATCH(J$4,'Adjustment scenario'!$D$10:$W$10,0))</f>
        <v>1.7310417</v>
      </c>
      <c r="K7" s="332">
        <f ca="1">INDEX(OFFSET('Adjustment scenario'!$D$1:$W$1,$D7-1,0),MATCH(K$4,'Adjustment scenario'!$D$10:$W$10,0))</f>
        <v>2.5910416999999999</v>
      </c>
      <c r="L7" s="332">
        <f ca="1">INDEX(OFFSET('Adjustment scenario'!$D$1:$W$1,$D7-1,0),MATCH(L$4,'Adjustment scenario'!$D$10:$W$10,0))</f>
        <v>2.5910416999999999</v>
      </c>
      <c r="M7" s="332">
        <f ca="1">INDEX(OFFSET('Adjustment scenario'!$D$1:$W$1,$D7-1,0),MATCH(M$4,'Adjustment scenario'!$D$10:$W$10,0))</f>
        <v>2.5910416999999999</v>
      </c>
      <c r="N7" s="332">
        <f ca="1">INDEX(OFFSET('Adjustment scenario'!$D$1:$W$1,$D7-1,0),MATCH(N$4,'Adjustment scenario'!$D$10:$W$10,0))</f>
        <v>2.5910416999999999</v>
      </c>
      <c r="O7" s="332">
        <f ca="1">INDEX(OFFSET('Adjustment scenario'!$D$1:$W$1,$D7-1,0),MATCH(O$4,'Adjustment scenario'!$D$10:$W$10,0))</f>
        <v>2.5910416999999999</v>
      </c>
      <c r="P7" s="332">
        <f ca="1">INDEX(OFFSET('Adjustment scenario'!$D$1:$W$1,$D7-1,0),MATCH(P$4,'Adjustment scenario'!$D$10:$W$10,0))</f>
        <v>2.5910416999999999</v>
      </c>
      <c r="Q7" s="332">
        <f ca="1">INDEX(OFFSET('Adjustment scenario'!$D$1:$W$1,$D7-1,0),MATCH(Q$4,'Adjustment scenario'!$D$10:$W$10,0))</f>
        <v>2.5910416999999999</v>
      </c>
      <c r="R7" s="332">
        <f ca="1">INDEX(OFFSET('Adjustment scenario'!$D$1:$W$1,$D7-1,0),MATCH(R$4,'Adjustment scenario'!$D$10:$W$10,0))</f>
        <v>2.5910416999999999</v>
      </c>
      <c r="S7" s="332">
        <f ca="1">INDEX(OFFSET('Adjustment scenario'!$D$1:$W$1,$D7-1,0),MATCH(S$4,'Adjustment scenario'!$D$10:$W$10,0))</f>
        <v>2.5910416999999999</v>
      </c>
      <c r="T7" s="332">
        <f ca="1">INDEX(OFFSET('Adjustment scenario'!$D$1:$W$1,$D7-1,0),MATCH(T$4,'Adjustment scenario'!$D$10:$W$10,0))</f>
        <v>2.5910416999999999</v>
      </c>
      <c r="U7" s="332">
        <f ca="1">INDEX(OFFSET('Adjustment scenario'!$D$1:$W$1,$D7-1,0),MATCH(U$4,'Adjustment scenario'!$D$10:$W$10,0))</f>
        <v>2.5910416999999999</v>
      </c>
      <c r="V7" s="332">
        <f ca="1">INDEX(OFFSET('Adjustment scenario'!$D$1:$W$1,$D7-1,0),MATCH(V$4,'Adjustment scenario'!$D$10:$W$10,0))</f>
        <v>2.5910416999999999</v>
      </c>
      <c r="W7" s="332">
        <f ca="1">INDEX(OFFSET('Adjustment scenario'!$D$1:$W$1,$D7-1,0),MATCH(W$4,'Adjustment scenario'!$D$10:$W$10,0))</f>
        <v>2.5910416999999999</v>
      </c>
      <c r="X7" s="332">
        <f ca="1">INDEX(OFFSET('Adjustment scenario'!$D$1:$W$1,$D7-1,0),MATCH(X$4,'Adjustment scenario'!$D$10:$W$10,0))</f>
        <v>2.5910416999999999</v>
      </c>
      <c r="Y7" s="271"/>
    </row>
    <row r="8" spans="1:25" x14ac:dyDescent="0.2">
      <c r="A8" s="271"/>
      <c r="B8" s="339">
        <v>4</v>
      </c>
      <c r="C8" s="343" t="s">
        <v>224</v>
      </c>
      <c r="D8" s="344">
        <v>62</v>
      </c>
      <c r="E8" s="345" t="s">
        <v>223</v>
      </c>
      <c r="F8" s="332">
        <f ca="1">INDEX(OFFSET('Adjustment scenario'!$D$1:$W$1,$D8-1,0),MATCH(F$4,'Adjustment scenario'!$D$10:$W$10,0))</f>
        <v>-0.45498952769530077</v>
      </c>
      <c r="G8" s="332">
        <f ca="1">INDEX(OFFSET('Adjustment scenario'!$D$1:$W$1,$D8-1,0),MATCH(G$4,'Adjustment scenario'!$D$10:$W$10,0))</f>
        <v>-0.58847623913428604</v>
      </c>
      <c r="H8" s="332">
        <f ca="1">INDEX(OFFSET('Adjustment scenario'!$D$1:$W$1,$D8-1,0),MATCH(H$4,'Adjustment scenario'!$D$10:$W$10,0))</f>
        <v>-0.21073918240789993</v>
      </c>
      <c r="I8" s="332">
        <f ca="1">INDEX(OFFSET('Adjustment scenario'!$D$1:$W$1,$D8-1,0),MATCH(I$4,'Adjustment scenario'!$D$10:$W$10,0))</f>
        <v>0.23981409117590907</v>
      </c>
      <c r="J8" s="332">
        <f ca="1">INDEX(OFFSET('Adjustment scenario'!$D$1:$W$1,$D8-1,0),MATCH(J$4,'Adjustment scenario'!$D$10:$W$10,0))</f>
        <v>0.53798129030580322</v>
      </c>
      <c r="K8" s="332">
        <f ca="1">INDEX(OFFSET('Adjustment scenario'!$D$1:$W$1,$D8-1,0),MATCH(K$4,'Adjustment scenario'!$D$10:$W$10,0))</f>
        <v>0.73497826497724239</v>
      </c>
      <c r="L8" s="332">
        <f ca="1">INDEX(OFFSET('Adjustment scenario'!$D$1:$W$1,$D8-1,0),MATCH(L$4,'Adjustment scenario'!$D$10:$W$10,0))</f>
        <v>0.48998550998484375</v>
      </c>
      <c r="M8" s="332">
        <f ca="1">INDEX(OFFSET('Adjustment scenario'!$D$1:$W$1,$D8-1,0),MATCH(M$4,'Adjustment scenario'!$D$10:$W$10,0))</f>
        <v>0.24499275499242518</v>
      </c>
      <c r="N8" s="332">
        <f ca="1">INDEX(OFFSET('Adjustment scenario'!$D$1:$W$1,$D8-1,0),MATCH(N$4,'Adjustment scenario'!$D$10:$W$10,0))</f>
        <v>0</v>
      </c>
      <c r="O8" s="332">
        <f ca="1">INDEX(OFFSET('Adjustment scenario'!$D$1:$W$1,$D8-1,0),MATCH(O$4,'Adjustment scenario'!$D$10:$W$10,0))</f>
        <v>5.9053348341331355E-7</v>
      </c>
      <c r="P8" s="332">
        <f ca="1">INDEX(OFFSET('Adjustment scenario'!$D$1:$W$1,$D8-1,0),MATCH(P$4,'Adjustment scenario'!$D$10:$W$10,0))</f>
        <v>-5.9121738358314249E-7</v>
      </c>
      <c r="Q8" s="332">
        <f ca="1">INDEX(OFFSET('Adjustment scenario'!$D$1:$W$1,$D8-1,0),MATCH(Q$4,'Adjustment scenario'!$D$10:$W$10,0))</f>
        <v>-6.1431246756171729E-10</v>
      </c>
      <c r="R8" s="332">
        <f ca="1">INDEX(OFFSET('Adjustment scenario'!$D$1:$W$1,$D8-1,0),MATCH(R$4,'Adjustment scenario'!$D$10:$W$10,0))</f>
        <v>-6.1431246756171729E-10</v>
      </c>
      <c r="S8" s="332">
        <f ca="1">INDEX(OFFSET('Adjustment scenario'!$D$1:$W$1,$D8-1,0),MATCH(S$4,'Adjustment scenario'!$D$10:$W$10,0))</f>
        <v>-5.9067344755359124E-7</v>
      </c>
      <c r="T8" s="332">
        <f ca="1">INDEX(OFFSET('Adjustment scenario'!$D$1:$W$1,$D8-1,0),MATCH(T$4,'Adjustment scenario'!$D$10:$W$10,0))</f>
        <v>-1.1797370390587147E-6</v>
      </c>
      <c r="U8" s="332">
        <f ca="1">INDEX(OFFSET('Adjustment scenario'!$D$1:$W$1,$D8-1,0),MATCH(U$4,'Adjustment scenario'!$D$10:$W$10,0))</f>
        <v>-2.5801865977115313E-9</v>
      </c>
      <c r="V8" s="332">
        <f ca="1">INDEX(OFFSET('Adjustment scenario'!$D$1:$W$1,$D8-1,0),MATCH(V$4,'Adjustment scenario'!$D$10:$W$10,0))</f>
        <v>-1.7666315675013421E-6</v>
      </c>
      <c r="W8" s="332">
        <f ca="1">INDEX(OFFSET('Adjustment scenario'!$D$1:$W$1,$D8-1,0),MATCH(W$4,'Adjustment scenario'!$D$10:$W$10,0))</f>
        <v>-2.3539887060275431E-6</v>
      </c>
      <c r="X8" s="332">
        <f ca="1">INDEX(OFFSET('Adjustment scenario'!$D$1:$W$1,$D8-1,0),MATCH(X$4,'Adjustment scenario'!$D$10:$W$10,0))</f>
        <v>-2.7461922735838584E-9</v>
      </c>
      <c r="Y8" s="271"/>
    </row>
    <row r="9" spans="1:25" x14ac:dyDescent="0.2">
      <c r="A9" s="271"/>
      <c r="B9" s="339">
        <v>5</v>
      </c>
      <c r="C9" s="343" t="s">
        <v>225</v>
      </c>
      <c r="D9" s="344">
        <v>14</v>
      </c>
      <c r="E9" s="345" t="s">
        <v>221</v>
      </c>
      <c r="F9" s="332">
        <f ca="1">INDEX(OFFSET('Adjustment scenario'!$D$1:$W$1,$D9-1,0),MATCH(F$4,'Adjustment scenario'!$D$10:$W$10,0))</f>
        <v>0</v>
      </c>
      <c r="G9" s="332">
        <f ca="1">INDEX(OFFSET('Adjustment scenario'!$D$1:$W$1,$D9-1,0),MATCH(G$4,'Adjustment scenario'!$D$10:$W$10,0))</f>
        <v>-0.18809000000000001</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2.4603547187935546</v>
      </c>
      <c r="G10" s="332">
        <f ca="1">INDEX(OFFSET('Adjustment scenario'!$D$1:$W$1,$D10-1,0),MATCH(G$4,'Adjustment scenario'!$D$10:$W$10,0))</f>
        <v>2.5334362592575936</v>
      </c>
      <c r="H10" s="332">
        <f ca="1">INDEX(OFFSET('Adjustment scenario'!$D$1:$W$1,$D10-1,0),MATCH(H$4,'Adjustment scenario'!$D$10:$W$10,0))</f>
        <v>2.5711183275558871</v>
      </c>
      <c r="I10" s="332">
        <f ca="1">INDEX(OFFSET('Adjustment scenario'!$D$1:$W$1,$D10-1,0),MATCH(I$4,'Adjustment scenario'!$D$10:$W$10,0))</f>
        <v>2.680720573241647</v>
      </c>
      <c r="J10" s="332">
        <f ca="1">INDEX(OFFSET('Adjustment scenario'!$D$1:$W$1,$D10-1,0),MATCH(J$4,'Adjustment scenario'!$D$10:$W$10,0))</f>
        <v>2.7444976609721845</v>
      </c>
      <c r="K10" s="332">
        <f ca="1">INDEX(OFFSET('Adjustment scenario'!$D$1:$W$1,$D10-1,0),MATCH(K$4,'Adjustment scenario'!$D$10:$W$10,0))</f>
        <v>2.7858968276705949</v>
      </c>
      <c r="L10" s="332">
        <f ca="1">INDEX(OFFSET('Adjustment scenario'!$D$1:$W$1,$D10-1,0),MATCH(L$4,'Adjustment scenario'!$D$10:$W$10,0))</f>
        <v>2.784353305778851</v>
      </c>
      <c r="M10" s="332">
        <f ca="1">INDEX(OFFSET('Adjustment scenario'!$D$1:$W$1,$D10-1,0),MATCH(M$4,'Adjustment scenario'!$D$10:$W$10,0))</f>
        <v>2.7796294843734448</v>
      </c>
      <c r="N10" s="332">
        <f ca="1">INDEX(OFFSET('Adjustment scenario'!$D$1:$W$1,$D10-1,0),MATCH(N$4,'Adjustment scenario'!$D$10:$W$10,0))</f>
        <v>2.7732179552945038</v>
      </c>
      <c r="O10" s="332">
        <f ca="1">INDEX(OFFSET('Adjustment scenario'!$D$1:$W$1,$D10-1,0),MATCH(O$4,'Adjustment scenario'!$D$10:$W$10,0))</f>
        <v>2.778139026213978</v>
      </c>
      <c r="P10" s="332">
        <f ca="1">INDEX(OFFSET('Adjustment scenario'!$D$1:$W$1,$D10-1,0),MATCH(P$4,'Adjustment scenario'!$D$10:$W$10,0))</f>
        <v>2.7934591969364937</v>
      </c>
      <c r="Q10" s="332">
        <f ca="1">INDEX(OFFSET('Adjustment scenario'!$D$1:$W$1,$D10-1,0),MATCH(Q$4,'Adjustment scenario'!$D$10:$W$10,0))</f>
        <v>2.8067975424877942</v>
      </c>
      <c r="R10" s="332">
        <f ca="1">INDEX(OFFSET('Adjustment scenario'!$D$1:$W$1,$D10-1,0),MATCH(R$4,'Adjustment scenario'!$D$10:$W$10,0))</f>
        <v>2.8201211398314552</v>
      </c>
      <c r="S10" s="332">
        <f ca="1">INDEX(OFFSET('Adjustment scenario'!$D$1:$W$1,$D10-1,0),MATCH(S$4,'Adjustment scenario'!$D$10:$W$10,0))</f>
        <v>2.8338001362185397</v>
      </c>
      <c r="T10" s="332">
        <f ca="1">INDEX(OFFSET('Adjustment scenario'!$D$1:$W$1,$D10-1,0),MATCH(T$4,'Adjustment scenario'!$D$10:$W$10,0))</f>
        <v>2.8445121240357389</v>
      </c>
      <c r="U10" s="332">
        <f ca="1">INDEX(OFFSET('Adjustment scenario'!$D$1:$W$1,$D10-1,0),MATCH(U$4,'Adjustment scenario'!$D$10:$W$10,0))</f>
        <v>2.8548542341760266</v>
      </c>
      <c r="V10" s="332">
        <f ca="1">INDEX(OFFSET('Adjustment scenario'!$D$1:$W$1,$D10-1,0),MATCH(V$4,'Adjustment scenario'!$D$10:$W$10,0))</f>
        <v>2.86495388986271</v>
      </c>
      <c r="W10" s="332">
        <f ca="1">INDEX(OFFSET('Adjustment scenario'!$D$1:$W$1,$D10-1,0),MATCH(W$4,'Adjustment scenario'!$D$10:$W$10,0))</f>
        <v>2.8747684139445586</v>
      </c>
      <c r="X10" s="332">
        <f ca="1">INDEX(OFFSET('Adjustment scenario'!$D$1:$W$1,$D10-1,0),MATCH(X$4,'Adjustment scenario'!$D$10:$W$10,0))</f>
        <v>2.8894396981188826</v>
      </c>
      <c r="Y10" s="271"/>
    </row>
    <row r="11" spans="1:25" x14ac:dyDescent="0.2">
      <c r="A11" s="271"/>
      <c r="B11" s="339">
        <v>7</v>
      </c>
      <c r="C11" s="346" t="s">
        <v>94</v>
      </c>
      <c r="D11" s="344">
        <v>37</v>
      </c>
      <c r="E11" s="345" t="s">
        <v>227</v>
      </c>
      <c r="F11" s="332">
        <f ca="1">INDEX(OFFSET('Adjustment scenario'!$D$1:$W$1,$D11-1,0),MATCH(F$4,'Adjustment scenario'!$D$10:$W$10,0))</f>
        <v>3.48</v>
      </c>
      <c r="G11" s="332">
        <f ca="1">INDEX(OFFSET('Adjustment scenario'!$D$1:$W$1,$D11-1,0),MATCH(G$4,'Adjustment scenario'!$D$10:$W$10,0))</f>
        <v>3.2930959999999998</v>
      </c>
      <c r="H11" s="332">
        <f ca="1">INDEX(OFFSET('Adjustment scenario'!$D$1:$W$1,$D11-1,0),MATCH(H$4,'Adjustment scenario'!$D$10:$W$10,0))</f>
        <v>3.4118309999999998</v>
      </c>
      <c r="I11" s="332">
        <f ca="1">INDEX(OFFSET('Adjustment scenario'!$D$1:$W$1,$D11-1,0),MATCH(I$4,'Adjustment scenario'!$D$10:$W$10,0))</f>
        <v>3.5264958749999997</v>
      </c>
      <c r="J11" s="332">
        <f ca="1">INDEX(OFFSET('Adjustment scenario'!$D$1:$W$1,$D11-1,0),MATCH(J$4,'Adjustment scenario'!$D$10:$W$10,0))</f>
        <v>3.6411607499999996</v>
      </c>
      <c r="K11" s="332">
        <f ca="1">INDEX(OFFSET('Adjustment scenario'!$D$1:$W$1,$D11-1,0),MATCH(K$4,'Adjustment scenario'!$D$10:$W$10,0))</f>
        <v>3.7558256249999995</v>
      </c>
      <c r="L11" s="332">
        <f ca="1">INDEX(OFFSET('Adjustment scenario'!$D$1:$W$1,$D11-1,0),MATCH(L$4,'Adjustment scenario'!$D$10:$W$10,0))</f>
        <v>3.8704904999999994</v>
      </c>
      <c r="M11" s="332">
        <f ca="1">INDEX(OFFSET('Adjustment scenario'!$D$1:$W$1,$D11-1,0),MATCH(M$4,'Adjustment scenario'!$D$10:$W$10,0))</f>
        <v>3.9851553749999993</v>
      </c>
      <c r="N11" s="332">
        <f ca="1">INDEX(OFFSET('Adjustment scenario'!$D$1:$W$1,$D11-1,0),MATCH(N$4,'Adjustment scenario'!$D$10:$W$10,0))</f>
        <v>4.0998202499999996</v>
      </c>
      <c r="O11" s="332">
        <f ca="1">INDEX(OFFSET('Adjustment scenario'!$D$1:$W$1,$D11-1,0),MATCH(O$4,'Adjustment scenario'!$D$10:$W$10,0))</f>
        <v>4.2144851249999995</v>
      </c>
      <c r="P11" s="332">
        <f ca="1">INDEX(OFFSET('Adjustment scenario'!$D$1:$W$1,$D11-1,0),MATCH(P$4,'Adjustment scenario'!$D$10:$W$10,0))</f>
        <v>4.3291500000000003</v>
      </c>
      <c r="Q11" s="332">
        <f ca="1">INDEX(OFFSET('Adjustment scenario'!$D$1:$W$1,$D11-1,0),MATCH(Q$4,'Adjustment scenario'!$D$10:$W$10,0))</f>
        <v>4.3126925000000007</v>
      </c>
      <c r="R11" s="332">
        <f ca="1">INDEX(OFFSET('Adjustment scenario'!$D$1:$W$1,$D11-1,0),MATCH(R$4,'Adjustment scenario'!$D$10:$W$10,0))</f>
        <v>4.2962350000000002</v>
      </c>
      <c r="S11" s="332">
        <f ca="1">INDEX(OFFSET('Adjustment scenario'!$D$1:$W$1,$D11-1,0),MATCH(S$4,'Adjustment scenario'!$D$10:$W$10,0))</f>
        <v>4.2797774999999998</v>
      </c>
      <c r="T11" s="332">
        <f ca="1">INDEX(OFFSET('Adjustment scenario'!$D$1:$W$1,$D11-1,0),MATCH(T$4,'Adjustment scenario'!$D$10:$W$10,0))</f>
        <v>4.2633200000000002</v>
      </c>
      <c r="U11" s="332">
        <f ca="1">INDEX(OFFSET('Adjustment scenario'!$D$1:$W$1,$D11-1,0),MATCH(U$4,'Adjustment scenario'!$D$10:$W$10,0))</f>
        <v>4.2468625000000007</v>
      </c>
      <c r="V11" s="332">
        <f ca="1">INDEX(OFFSET('Adjustment scenario'!$D$1:$W$1,$D11-1,0),MATCH(V$4,'Adjustment scenario'!$D$10:$W$10,0))</f>
        <v>4.2304050000000002</v>
      </c>
      <c r="W11" s="332">
        <f ca="1">INDEX(OFFSET('Adjustment scenario'!$D$1:$W$1,$D11-1,0),MATCH(W$4,'Adjustment scenario'!$D$10:$W$10,0))</f>
        <v>4.2139474999999997</v>
      </c>
      <c r="X11" s="332">
        <f ca="1">INDEX(OFFSET('Adjustment scenario'!$D$1:$W$1,$D11-1,0),MATCH(X$4,'Adjustment scenario'!$D$10:$W$10,0))</f>
        <v>4.1974900000000002</v>
      </c>
      <c r="Y11" s="271"/>
    </row>
    <row r="12" spans="1:25" x14ac:dyDescent="0.2">
      <c r="A12" s="271"/>
      <c r="B12" s="339">
        <v>8</v>
      </c>
      <c r="C12" s="346" t="s">
        <v>95</v>
      </c>
      <c r="D12" s="344">
        <v>38</v>
      </c>
      <c r="E12" s="345" t="s">
        <v>227</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228</v>
      </c>
      <c r="D13" s="344">
        <v>36</v>
      </c>
      <c r="E13" s="345" t="s">
        <v>227</v>
      </c>
      <c r="F13" s="332">
        <f ca="1">INDEX(OFFSET('Adjustment scenario'!$D$1:$W$1,$D13-1,0),MATCH(F$4,'Adjustment scenario'!$D$10:$W$10,0))</f>
        <v>2.3933339999999999</v>
      </c>
      <c r="G13" s="332">
        <f ca="1">INDEX(OFFSET('Adjustment scenario'!$D$1:$W$1,$D13-1,0),MATCH(G$4,'Adjustment scenario'!$D$10:$W$10,0))</f>
        <v>2.4819740000000001</v>
      </c>
      <c r="H13" s="332">
        <f ca="1">INDEX(OFFSET('Adjustment scenario'!$D$1:$W$1,$D13-1,0),MATCH(H$4,'Adjustment scenario'!$D$10:$W$10,0))</f>
        <v>2.5283959999999999</v>
      </c>
      <c r="I13" s="332">
        <f ca="1">INDEX(OFFSET('Adjustment scenario'!$D$1:$W$1,$D13-1,0),MATCH(I$4,'Adjustment scenario'!$D$10:$W$10,0))</f>
        <v>2.6361246787580406</v>
      </c>
      <c r="J13" s="332">
        <f ca="1">INDEX(OFFSET('Adjustment scenario'!$D$1:$W$1,$D13-1,0),MATCH(J$4,'Adjustment scenario'!$D$10:$W$10,0))</f>
        <v>2.73386480148549</v>
      </c>
      <c r="K13" s="332">
        <f ca="1">INDEX(OFFSET('Adjustment scenario'!$D$1:$W$1,$D13-1,0),MATCH(K$4,'Adjustment scenario'!$D$10:$W$10,0))</f>
        <v>2.8287631783892073</v>
      </c>
      <c r="L13" s="332">
        <f ca="1">INDEX(OFFSET('Adjustment scenario'!$D$1:$W$1,$D13-1,0),MATCH(L$4,'Adjustment scenario'!$D$10:$W$10,0))</f>
        <v>2.919841613953964</v>
      </c>
      <c r="M13" s="332">
        <f ca="1">INDEX(OFFSET('Adjustment scenario'!$D$1:$W$1,$D13-1,0),MATCH(M$4,'Adjustment scenario'!$D$10:$W$10,0))</f>
        <v>3.0117876140919071</v>
      </c>
      <c r="N13" s="332">
        <f ca="1">INDEX(OFFSET('Adjustment scenario'!$D$1:$W$1,$D13-1,0),MATCH(N$4,'Adjustment scenario'!$D$10:$W$10,0))</f>
        <v>3.1047909003314378</v>
      </c>
      <c r="O13" s="332">
        <f ca="1">INDEX(OFFSET('Adjustment scenario'!$D$1:$W$1,$D13-1,0),MATCH(O$4,'Adjustment scenario'!$D$10:$W$10,0))</f>
        <v>3.1991376501506701</v>
      </c>
      <c r="P13" s="332">
        <f ca="1">INDEX(OFFSET('Adjustment scenario'!$D$1:$W$1,$D13-1,0),MATCH(P$4,'Adjustment scenario'!$D$10:$W$10,0))</f>
        <v>3.2976764870007291</v>
      </c>
      <c r="Q13" s="332">
        <f ca="1">INDEX(OFFSET('Adjustment scenario'!$D$1:$W$1,$D13-1,0),MATCH(Q$4,'Adjustment scenario'!$D$10:$W$10,0))</f>
        <v>3.386346459134653</v>
      </c>
      <c r="R13" s="332">
        <f ca="1">INDEX(OFFSET('Adjustment scenario'!$D$1:$W$1,$D13-1,0),MATCH(R$4,'Adjustment scenario'!$D$10:$W$10,0))</f>
        <v>3.4667137957330088</v>
      </c>
      <c r="S13" s="332">
        <f ca="1">INDEX(OFFSET('Adjustment scenario'!$D$1:$W$1,$D13-1,0),MATCH(S$4,'Adjustment scenario'!$D$10:$W$10,0))</f>
        <v>3.5389604010391911</v>
      </c>
      <c r="T13" s="332">
        <f ca="1">INDEX(OFFSET('Adjustment scenario'!$D$1:$W$1,$D13-1,0),MATCH(T$4,'Adjustment scenario'!$D$10:$W$10,0))</f>
        <v>3.6033241767476585</v>
      </c>
      <c r="U13" s="332">
        <f ca="1">INDEX(OFFSET('Adjustment scenario'!$D$1:$W$1,$D13-1,0),MATCH(U$4,'Adjustment scenario'!$D$10:$W$10,0))</f>
        <v>3.660127341840929</v>
      </c>
      <c r="V13" s="332">
        <f ca="1">INDEX(OFFSET('Adjustment scenario'!$D$1:$W$1,$D13-1,0),MATCH(V$4,'Adjustment scenario'!$D$10:$W$10,0))</f>
        <v>3.7098002215836239</v>
      </c>
      <c r="W13" s="332">
        <f ca="1">INDEX(OFFSET('Adjustment scenario'!$D$1:$W$1,$D13-1,0),MATCH(W$4,'Adjustment scenario'!$D$10:$W$10,0))</f>
        <v>3.752788578730923</v>
      </c>
      <c r="X13" s="332">
        <f ca="1">INDEX(OFFSET('Adjustment scenario'!$D$1:$W$1,$D13-1,0),MATCH(X$4,'Adjustment scenario'!$D$10:$W$10,0))</f>
        <v>3.7894773848470824</v>
      </c>
      <c r="Y13" s="271"/>
    </row>
    <row r="14" spans="1:25" x14ac:dyDescent="0.2">
      <c r="A14" s="271"/>
      <c r="B14" s="339">
        <v>10</v>
      </c>
      <c r="C14" s="343" t="s">
        <v>229</v>
      </c>
      <c r="D14" s="344">
        <v>72</v>
      </c>
      <c r="E14" s="345" t="s">
        <v>221</v>
      </c>
      <c r="F14" s="332">
        <f ca="1">INDEX(OFFSET('Adjustment scenario'!$D$1:$W$1,$D14-1,0),MATCH(F$4,'Adjustment scenario'!$D$10:$W$10,0))</f>
        <v>1.2174830000000001</v>
      </c>
      <c r="G14" s="332">
        <f ca="1">INDEX(OFFSET('Adjustment scenario'!$D$1:$W$1,$D14-1,0),MATCH(G$4,'Adjustment scenario'!$D$10:$W$10,0))</f>
        <v>0.45447110000000002</v>
      </c>
      <c r="H14" s="332">
        <f ca="1">INDEX(OFFSET('Adjustment scenario'!$D$1:$W$1,$D14-1,0),MATCH(H$4,'Adjustment scenario'!$D$10:$W$10,0))</f>
        <v>0.94000099999999998</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1.8783989999999973</v>
      </c>
      <c r="G15" s="332">
        <f ca="1">(INDEX(OFFSET('Adjustment scenario'!$D$1:$W$1,$D15-1,0),MATCH(G$4,'Adjustment scenario'!$D$10:$W$10,0))/INDEX(OFFSET('Adjustment scenario'!$D$1:$W$1,$D15-1,0),MATCH(F$4,'Adjustment scenario'!$D$10:$W$10,0))-1)*100</f>
        <v>1.9185549999999996</v>
      </c>
      <c r="H15" s="332">
        <f ca="1">(INDEX(OFFSET('Adjustment scenario'!$D$1:$W$1,$D15-1,0),MATCH(H$4,'Adjustment scenario'!$D$10:$W$10,0))/INDEX(OFFSET('Adjustment scenario'!$D$1:$W$1,$D15-1,0),MATCH(G$4,'Adjustment scenario'!$D$10:$W$10,0))-1)*100</f>
        <v>2.0213330000000029</v>
      </c>
      <c r="I15" s="332">
        <f ca="1">(INDEX(OFFSET('Adjustment scenario'!$D$1:$W$1,$D15-1,0),MATCH(I$4,'Adjustment scenario'!$D$10:$W$10,0))/INDEX(OFFSET('Adjustment scenario'!$D$1:$W$1,$D15-1,0),MATCH(H$4,'Adjustment scenario'!$D$10:$W$10,0))-1)*100</f>
        <v>1.6085399999999916</v>
      </c>
      <c r="J15" s="332">
        <f ca="1">(INDEX(OFFSET('Adjustment scenario'!$D$1:$W$1,$D15-1,0),MATCH(J$4,'Adjustment scenario'!$D$10:$W$10,0))/INDEX(OFFSET('Adjustment scenario'!$D$1:$W$1,$D15-1,0),MATCH(I$4,'Adjustment scenario'!$D$10:$W$10,0))-1)*100</f>
        <v>1.4316039999999974</v>
      </c>
      <c r="K15" s="332">
        <f ca="1">(INDEX(OFFSET('Adjustment scenario'!$D$1:$W$1,$D15-1,0),MATCH(K$4,'Adjustment scenario'!$D$10:$W$10,0))/INDEX(OFFSET('Adjustment scenario'!$D$1:$W$1,$D15-1,0),MATCH(J$4,'Adjustment scenario'!$D$10:$W$10,0))-1)*100</f>
        <v>1.4006409999999914</v>
      </c>
      <c r="L15" s="332">
        <f ca="1">(INDEX(OFFSET('Adjustment scenario'!$D$1:$W$1,$D15-1,0),MATCH(L$4,'Adjustment scenario'!$D$10:$W$10,0))/INDEX(OFFSET('Adjustment scenario'!$D$1:$W$1,$D15-1,0),MATCH(K$4,'Adjustment scenario'!$D$10:$W$10,0))-1)*100</f>
        <v>1.3416909999999893</v>
      </c>
      <c r="M15" s="332">
        <f ca="1">(INDEX(OFFSET('Adjustment scenario'!$D$1:$W$1,$D15-1,0),MATCH(M$4,'Adjustment scenario'!$D$10:$W$10,0))/INDEX(OFFSET('Adjustment scenario'!$D$1:$W$1,$D15-1,0),MATCH(L$4,'Adjustment scenario'!$D$10:$W$10,0))-1)*100</f>
        <v>1.2695190000000078</v>
      </c>
      <c r="N15" s="332">
        <f ca="1">(INDEX(OFFSET('Adjustment scenario'!$D$1:$W$1,$D15-1,0),MATCH(N$4,'Adjustment scenario'!$D$10:$W$10,0))/INDEX(OFFSET('Adjustment scenario'!$D$1:$W$1,$D15-1,0),MATCH(M$4,'Adjustment scenario'!$D$10:$W$10,0))-1)*100</f>
        <v>1.1851370000000028</v>
      </c>
      <c r="O15" s="332">
        <f ca="1">(INDEX(OFFSET('Adjustment scenario'!$D$1:$W$1,$D15-1,0),MATCH(O$4,'Adjustment scenario'!$D$10:$W$10,0))/INDEX(OFFSET('Adjustment scenario'!$D$1:$W$1,$D15-1,0),MATCH(N$4,'Adjustment scenario'!$D$10:$W$10,0))-1)*100</f>
        <v>1.0950320000000069</v>
      </c>
      <c r="P15" s="332">
        <f ca="1">(INDEX(OFFSET('Adjustment scenario'!$D$1:$W$1,$D15-1,0),MATCH(P$4,'Adjustment scenario'!$D$10:$W$10,0))/INDEX(OFFSET('Adjustment scenario'!$D$1:$W$1,$D15-1,0),MATCH(O$4,'Adjustment scenario'!$D$10:$W$10,0))-1)*100</f>
        <v>1.0365229999999892</v>
      </c>
      <c r="Q15" s="332">
        <f ca="1">(INDEX(OFFSET('Adjustment scenario'!$D$1:$W$1,$D15-1,0),MATCH(Q$4,'Adjustment scenario'!$D$10:$W$10,0))/INDEX(OFFSET('Adjustment scenario'!$D$1:$W$1,$D15-1,0),MATCH(P$4,'Adjustment scenario'!$D$10:$W$10,0))-1)*100</f>
        <v>1.0831159999999951</v>
      </c>
      <c r="R15" s="332">
        <f ca="1">(INDEX(OFFSET('Adjustment scenario'!$D$1:$W$1,$D15-1,0),MATCH(R$4,'Adjustment scenario'!$D$10:$W$10,0))/INDEX(OFFSET('Adjustment scenario'!$D$1:$W$1,$D15-1,0),MATCH(Q$4,'Adjustment scenario'!$D$10:$W$10,0))-1)*100</f>
        <v>1.129708000000007</v>
      </c>
      <c r="S15" s="332">
        <f ca="1">(INDEX(OFFSET('Adjustment scenario'!$D$1:$W$1,$D15-1,0),MATCH(S$4,'Adjustment scenario'!$D$10:$W$10,0))/INDEX(OFFSET('Adjustment scenario'!$D$1:$W$1,$D15-1,0),MATCH(R$4,'Adjustment scenario'!$D$10:$W$10,0))-1)*100</f>
        <v>1.1763009999999907</v>
      </c>
      <c r="T15" s="332">
        <f ca="1">(INDEX(OFFSET('Adjustment scenario'!$D$1:$W$1,$D15-1,0),MATCH(T$4,'Adjustment scenario'!$D$10:$W$10,0))/INDEX(OFFSET('Adjustment scenario'!$D$1:$W$1,$D15-1,0),MATCH(S$4,'Adjustment scenario'!$D$10:$W$10,0))-1)*100</f>
        <v>1.3472949999999928</v>
      </c>
      <c r="U15" s="332">
        <f ca="1">(INDEX(OFFSET('Adjustment scenario'!$D$1:$W$1,$D15-1,0),MATCH(U$4,'Adjustment scenario'!$D$10:$W$10,0))/INDEX(OFFSET('Adjustment scenario'!$D$1:$W$1,$D15-1,0),MATCH(T$4,'Adjustment scenario'!$D$10:$W$10,0))-1)*100</f>
        <v>1.430836000000002</v>
      </c>
      <c r="V15" s="332">
        <f ca="1">(INDEX(OFFSET('Adjustment scenario'!$D$1:$W$1,$D15-1,0),MATCH(V$4,'Adjustment scenario'!$D$10:$W$10,0))/INDEX(OFFSET('Adjustment scenario'!$D$1:$W$1,$D15-1,0),MATCH(U$4,'Adjustment scenario'!$D$10:$W$10,0))-1)*100</f>
        <v>1.5276550000000055</v>
      </c>
      <c r="W15" s="332">
        <f ca="1">(INDEX(OFFSET('Adjustment scenario'!$D$1:$W$1,$D15-1,0),MATCH(W$4,'Adjustment scenario'!$D$10:$W$10,0))/INDEX(OFFSET('Adjustment scenario'!$D$1:$W$1,$D15-1,0),MATCH(V$4,'Adjustment scenario'!$D$10:$W$10,0))-1)*100</f>
        <v>1.6417389999999976</v>
      </c>
      <c r="X15" s="332">
        <f ca="1">(INDEX(OFFSET('Adjustment scenario'!$D$1:$W$1,$D15-1,0),MATCH(X$4,'Adjustment scenario'!$D$10:$W$10,0))/INDEX(OFFSET('Adjustment scenario'!$D$1:$W$1,$D15-1,0),MATCH(W$4,'Adjustment scenario'!$D$10:$W$10,0))-1)*100</f>
        <v>1.5633259999999982</v>
      </c>
      <c r="Y15" s="271"/>
    </row>
    <row r="16" spans="1:25" x14ac:dyDescent="0.2">
      <c r="A16" s="271"/>
      <c r="B16" s="339">
        <v>12</v>
      </c>
      <c r="C16" s="335" t="s">
        <v>231</v>
      </c>
      <c r="D16" s="344">
        <v>24</v>
      </c>
      <c r="E16" s="345" t="s">
        <v>230</v>
      </c>
      <c r="F16" s="332">
        <f ca="1">INDEX(OFFSET('Adjustment scenario'!$D$1:$W$1,$D16-1,0),MATCH(F$4,'Adjustment scenario'!$D$10:$W$10,0))</f>
        <v>2.5032939999999999</v>
      </c>
      <c r="G16" s="332">
        <f ca="1">INDEX(OFFSET('Adjustment scenario'!$D$1:$W$1,$D16-1,0),MATCH(G$4,'Adjustment scenario'!$D$10:$W$10,0))</f>
        <v>2.144717</v>
      </c>
      <c r="H16" s="332">
        <f ca="1">INDEX(OFFSET('Adjustment scenario'!$D$1:$W$1,$D16-1,0),MATCH(H$4,'Adjustment scenario'!$D$10:$W$10,0))</f>
        <v>1.3821190000000039</v>
      </c>
      <c r="I16" s="332">
        <f ca="1">INDEX(OFFSET('Adjustment scenario'!$D$1:$W$1,$D16-1,0),MATCH(I$4,'Adjustment scenario'!$D$10:$W$10,0))</f>
        <v>0.84440220190526993</v>
      </c>
      <c r="J16" s="332">
        <f ca="1">INDEX(OFFSET('Adjustment scenario'!$D$1:$W$1,$D16-1,0),MATCH(J$4,'Adjustment scenario'!$D$10:$W$10,0))</f>
        <v>0.92296823296240671</v>
      </c>
      <c r="K16" s="332">
        <f ca="1">INDEX(OFFSET('Adjustment scenario'!$D$1:$W$1,$D16-1,0),MATCH(K$4,'Adjustment scenario'!$D$10:$W$10,0))</f>
        <v>1.062998371462176</v>
      </c>
      <c r="L16" s="332">
        <f ca="1">INDEX(OFFSET('Adjustment scenario'!$D$1:$W$1,$D16-1,0),MATCH(L$4,'Adjustment scenario'!$D$10:$W$10,0))</f>
        <v>1.7627538495186501</v>
      </c>
      <c r="M16" s="332">
        <f ca="1">INDEX(OFFSET('Adjustment scenario'!$D$1:$W$1,$D16-1,0),MATCH(M$4,'Adjustment scenario'!$D$10:$W$10,0))</f>
        <v>1.6885409960299302</v>
      </c>
      <c r="N16" s="332">
        <f ca="1">INDEX(OFFSET('Adjustment scenario'!$D$1:$W$1,$D16-1,0),MATCH(N$4,'Adjustment scenario'!$D$10:$W$10,0))</f>
        <v>1.6020846487617035</v>
      </c>
      <c r="O16" s="332">
        <f ca="1">INDEX(OFFSET('Adjustment scenario'!$D$1:$W$1,$D16-1,0),MATCH(O$4,'Adjustment scenario'!$D$10:$W$10,0))</f>
        <v>1.0950309999999908</v>
      </c>
      <c r="P16" s="332">
        <f ca="1">INDEX(OFFSET('Adjustment scenario'!$D$1:$W$1,$D16-1,0),MATCH(P$4,'Adjustment scenario'!$D$10:$W$10,0))</f>
        <v>1.0365249999999993</v>
      </c>
      <c r="Q16" s="332">
        <f ca="1">INDEX(OFFSET('Adjustment scenario'!$D$1:$W$1,$D16-1,0),MATCH(Q$4,'Adjustment scenario'!$D$10:$W$10,0))</f>
        <v>1.0831150000000012</v>
      </c>
      <c r="R16" s="332">
        <f ca="1">INDEX(OFFSET('Adjustment scenario'!$D$1:$W$1,$D16-1,0),MATCH(R$4,'Adjustment scenario'!$D$10:$W$10,0))</f>
        <v>1.129708000000007</v>
      </c>
      <c r="S16" s="332">
        <f ca="1">INDEX(OFFSET('Adjustment scenario'!$D$1:$W$1,$D16-1,0),MATCH(S$4,'Adjustment scenario'!$D$10:$W$10,0))</f>
        <v>1.1763020000000068</v>
      </c>
      <c r="T16" s="332">
        <f ca="1">INDEX(OFFSET('Adjustment scenario'!$D$1:$W$1,$D16-1,0),MATCH(T$4,'Adjustment scenario'!$D$10:$W$10,0))</f>
        <v>1.3472960000000089</v>
      </c>
      <c r="U16" s="332">
        <f ca="1">INDEX(OFFSET('Adjustment scenario'!$D$1:$W$1,$D16-1,0),MATCH(U$4,'Adjustment scenario'!$D$10:$W$10,0))</f>
        <v>1.4308339999999919</v>
      </c>
      <c r="V16" s="332">
        <f ca="1">INDEX(OFFSET('Adjustment scenario'!$D$1:$W$1,$D16-1,0),MATCH(V$4,'Adjustment scenario'!$D$10:$W$10,0))</f>
        <v>1.5276580000000095</v>
      </c>
      <c r="W16" s="332">
        <f ca="1">INDEX(OFFSET('Adjustment scenario'!$D$1:$W$1,$D16-1,0),MATCH(W$4,'Adjustment scenario'!$D$10:$W$10,0))</f>
        <v>1.6417399999999915</v>
      </c>
      <c r="X16" s="332">
        <f ca="1">INDEX(OFFSET('Adjustment scenario'!$D$1:$W$1,$D16-1,0),MATCH(X$4,'Adjustment scenario'!$D$10:$W$10,0))</f>
        <v>1.5633220000000003</v>
      </c>
      <c r="Y16" s="271"/>
    </row>
    <row r="17" spans="1:25" x14ac:dyDescent="0.2">
      <c r="A17" s="271"/>
      <c r="B17" s="339">
        <v>13</v>
      </c>
      <c r="C17" s="348" t="s">
        <v>232</v>
      </c>
      <c r="D17" s="344">
        <v>42</v>
      </c>
      <c r="E17" s="345" t="s">
        <v>230</v>
      </c>
      <c r="F17" s="332">
        <f ca="1">INDEX(OFFSET('Adjustment scenario'!$D$1:$W$1,$D17-1,0),MATCH(F$4,'Adjustment scenario'!$D$10:$W$10,0))</f>
        <v>5.9277860000000002</v>
      </c>
      <c r="G17" s="332">
        <f ca="1">INDEX(OFFSET('Adjustment scenario'!$D$1:$W$1,$D17-1,0),MATCH(G$4,'Adjustment scenario'!$D$10:$W$10,0))</f>
        <v>3.2528440000000001</v>
      </c>
      <c r="H17" s="332">
        <f ca="1">INDEX(OFFSET('Adjustment scenario'!$D$1:$W$1,$D17-1,0),MATCH(H$4,'Adjustment scenario'!$D$10:$W$10,0))</f>
        <v>2.3423060000000002</v>
      </c>
      <c r="I17" s="332">
        <f ca="1">INDEX(OFFSET('Adjustment scenario'!$D$1:$W$1,$D17-1,0),MATCH(I$4,'Adjustment scenario'!$D$10:$W$10,0))</f>
        <v>2.3682677500000002</v>
      </c>
      <c r="J17" s="332">
        <f ca="1">INDEX(OFFSET('Adjustment scenario'!$D$1:$W$1,$D17-1,0),MATCH(J$4,'Adjustment scenario'!$D$10:$W$10,0))</f>
        <v>2.3942295000000002</v>
      </c>
      <c r="K17" s="332">
        <f ca="1">INDEX(OFFSET('Adjustment scenario'!$D$1:$W$1,$D17-1,0),MATCH(K$4,'Adjustment scenario'!$D$10:$W$10,0))</f>
        <v>2.4201912500000002</v>
      </c>
      <c r="L17" s="332">
        <f ca="1">INDEX(OFFSET('Adjustment scenario'!$D$1:$W$1,$D17-1,0),MATCH(L$4,'Adjustment scenario'!$D$10:$W$10,0))</f>
        <v>2.4461529999999998</v>
      </c>
      <c r="M17" s="332">
        <f ca="1">INDEX(OFFSET('Adjustment scenario'!$D$1:$W$1,$D17-1,0),MATCH(M$4,'Adjustment scenario'!$D$10:$W$10,0))</f>
        <v>2.4721147499999998</v>
      </c>
      <c r="N17" s="332">
        <f ca="1">INDEX(OFFSET('Adjustment scenario'!$D$1:$W$1,$D17-1,0),MATCH(N$4,'Adjustment scenario'!$D$10:$W$10,0))</f>
        <v>2.4980764999999998</v>
      </c>
      <c r="O17" s="332">
        <f ca="1">INDEX(OFFSET('Adjustment scenario'!$D$1:$W$1,$D17-1,0),MATCH(O$4,'Adjustment scenario'!$D$10:$W$10,0))</f>
        <v>2.5240382499999998</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233</v>
      </c>
      <c r="D18" s="344">
        <v>33</v>
      </c>
      <c r="E18" s="345" t="s">
        <v>230</v>
      </c>
      <c r="F18" s="332">
        <f ca="1">INDEX(OFFSET('Adjustment scenario'!$D$1:$W$1,$D18-1,0),MATCH(F$4,'Adjustment scenario'!$D$10:$W$10,0))</f>
        <v>8.5794699112708308</v>
      </c>
      <c r="G18" s="332">
        <f ca="1">INDEX(OFFSET('Adjustment scenario'!$D$1:$W$1,$D18-1,0),MATCH(G$4,'Adjustment scenario'!$D$10:$W$10,0))</f>
        <v>5.4673252982514908</v>
      </c>
      <c r="H18" s="332">
        <f ca="1">INDEX(OFFSET('Adjustment scenario'!$D$1:$W$1,$D18-1,0),MATCH(H$4,'Adjustment scenario'!$D$10:$W$10,0))</f>
        <v>3.7567984562641543</v>
      </c>
      <c r="I18" s="332">
        <f ca="1">INDEX(OFFSET('Adjustment scenario'!$D$1:$W$1,$D18-1,0),MATCH(I$4,'Adjustment scenario'!$D$10:$W$10,0))</f>
        <v>3.2326676569332857</v>
      </c>
      <c r="J18" s="332">
        <f ca="1">INDEX(OFFSET('Adjustment scenario'!$D$1:$W$1,$D18-1,0),MATCH(J$4,'Adjustment scenario'!$D$10:$W$10,0))</f>
        <v>3.3392957106716192</v>
      </c>
      <c r="K18" s="332">
        <f ca="1">INDEX(OFFSET('Adjustment scenario'!$D$1:$W$1,$D18-1,0),MATCH(K$4,'Adjustment scenario'!$D$10:$W$10,0))</f>
        <v>3.5089162150359288</v>
      </c>
      <c r="L18" s="332">
        <f ca="1">INDEX(OFFSET('Adjustment scenario'!$D$1:$W$1,$D18-1,0),MATCH(L$4,'Adjustment scenario'!$D$10:$W$10,0))</f>
        <v>4.2520265056912532</v>
      </c>
      <c r="M18" s="332">
        <f ca="1">INDEX(OFFSET('Adjustment scenario'!$D$1:$W$1,$D18-1,0),MATCH(M$4,'Adjustment scenario'!$D$10:$W$10,0))</f>
        <v>4.2023984170525885</v>
      </c>
      <c r="N18" s="332">
        <f ca="1">INDEX(OFFSET('Adjustment scenario'!$D$1:$W$1,$D18-1,0),MATCH(N$4,'Adjustment scenario'!$D$10:$W$10,0))</f>
        <v>4.1401824488825234</v>
      </c>
      <c r="O18" s="332">
        <f ca="1">INDEX(OFFSET('Adjustment scenario'!$D$1:$W$1,$D18-1,0),MATCH(O$4,'Adjustment scenario'!$D$10:$W$10,0))</f>
        <v>3.6467082512893434</v>
      </c>
      <c r="P18" s="332">
        <f ca="1">INDEX(OFFSET('Adjustment scenario'!$D$1:$W$1,$D18-1,0),MATCH(P$4,'Adjustment scenario'!$D$10:$W$10,0))</f>
        <v>3.6129563875000104</v>
      </c>
      <c r="Q18" s="332">
        <f ca="1">INDEX(OFFSET('Adjustment scenario'!$D$1:$W$1,$D18-1,0),MATCH(Q$4,'Adjustment scenario'!$D$10:$W$10,0))</f>
        <v>3.632936575875001</v>
      </c>
      <c r="R18" s="332">
        <f ca="1">INDEX(OFFSET('Adjustment scenario'!$D$1:$W$1,$D18-1,0),MATCH(R$4,'Adjustment scenario'!$D$10:$W$10,0))</f>
        <v>3.6528942145999999</v>
      </c>
      <c r="S18" s="332">
        <f ca="1">INDEX(OFFSET('Adjustment scenario'!$D$1:$W$1,$D18-1,0),MATCH(S$4,'Adjustment scenario'!$D$10:$W$10,0))</f>
        <v>3.6728272518500082</v>
      </c>
      <c r="T18" s="332">
        <f ca="1">INDEX(OFFSET('Adjustment scenario'!$D$1:$W$1,$D18-1,0),MATCH(T$4,'Adjustment scenario'!$D$10:$W$10,0))</f>
        <v>3.8201700224000046</v>
      </c>
      <c r="U18" s="332">
        <f ca="1">INDEX(OFFSET('Adjustment scenario'!$D$1:$W$1,$D18-1,0),MATCH(U$4,'Adjustment scenario'!$D$10:$W$10,0))</f>
        <v>3.8778528702499759</v>
      </c>
      <c r="V18" s="332">
        <f ca="1">INDEX(OFFSET('Adjustment scenario'!$D$1:$W$1,$D18-1,0),MATCH(V$4,'Adjustment scenario'!$D$10:$W$10,0))</f>
        <v>3.9490926433000118</v>
      </c>
      <c r="W18" s="332">
        <f ca="1">INDEX(OFFSET('Adjustment scenario'!$D$1:$W$1,$D18-1,0),MATCH(W$4,'Adjustment scenario'!$D$10:$W$10,0))</f>
        <v>4.0379440204999728</v>
      </c>
      <c r="X18" s="332">
        <f ca="1">INDEX(OFFSET('Adjustment scenario'!$D$1:$W$1,$D18-1,0),MATCH(X$4,'Adjustment scenario'!$D$10:$W$10,0))</f>
        <v>3.9297474026000145</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107.65412775375809</v>
      </c>
      <c r="G23" s="332">
        <f ca="1">INDEX(OFFSET('Financial stress'!$D$1:$W$1,$D23-1,0),MATCH(G$4,'Financial stress'!$D$10:$W$10,0))</f>
        <v>105.5099779146238</v>
      </c>
      <c r="H23" s="332">
        <f ca="1">INDEX(OFFSET('Financial stress'!$D$1:$W$1,$D23-1,0),MATCH(H$4,'Financial stress'!$D$10:$W$10,0))</f>
        <v>104.97907714628217</v>
      </c>
      <c r="I23" s="332">
        <f ca="1">INDEX(OFFSET('Financial stress'!$D$1:$W$1,$D23-1,0),MATCH(I$4,'Financial stress'!$D$10:$W$10,0))</f>
        <v>103.74121471198744</v>
      </c>
      <c r="J23" s="332">
        <f ca="1">INDEX(OFFSET('Financial stress'!$D$1:$W$1,$D23-1,0),MATCH(J$4,'Financial stress'!$D$10:$W$10,0))</f>
        <v>101.94036868200992</v>
      </c>
      <c r="K23" s="332">
        <f ca="1">INDEX(OFFSET('Financial stress'!$D$1:$W$1,$D23-1,0),MATCH(K$4,'Financial stress'!$D$10:$W$10,0))</f>
        <v>99.41445907477997</v>
      </c>
      <c r="L23" s="332">
        <f ca="1">INDEX(OFFSET('Financial stress'!$D$1:$W$1,$D23-1,0),MATCH(L$4,'Financial stress'!$D$10:$W$10,0))</f>
        <v>96.40307717362731</v>
      </c>
      <c r="M23" s="332">
        <f ca="1">INDEX(OFFSET('Financial stress'!$D$1:$W$1,$D23-1,0),MATCH(M$4,'Financial stress'!$D$10:$W$10,0))</f>
        <v>93.36660952279361</v>
      </c>
      <c r="N23" s="332">
        <f ca="1">INDEX(OFFSET('Financial stress'!$D$1:$W$1,$D23-1,0),MATCH(N$4,'Financial stress'!$D$10:$W$10,0))</f>
        <v>90.455851407646264</v>
      </c>
      <c r="O23" s="332">
        <f ca="1">INDEX(OFFSET('Financial stress'!$D$1:$W$1,$D23-1,0),MATCH(O$4,'Financial stress'!$D$10:$W$10,0))</f>
        <v>88.310162320773202</v>
      </c>
      <c r="P23" s="332">
        <f ca="1">INDEX(OFFSET('Financial stress'!$D$1:$W$1,$D23-1,0),MATCH(P$4,'Financial stress'!$D$10:$W$10,0))</f>
        <v>86.517671034071142</v>
      </c>
      <c r="Q23" s="332">
        <f ca="1">INDEX(OFFSET('Financial stress'!$D$1:$W$1,$D23-1,0),MATCH(Q$4,'Financial stress'!$D$10:$W$10,0))</f>
        <v>85.012960436649294</v>
      </c>
      <c r="R23" s="332">
        <f ca="1">INDEX(OFFSET('Financial stress'!$D$1:$W$1,$D23-1,0),MATCH(R$4,'Financial stress'!$D$10:$W$10,0))</f>
        <v>83.772286397125896</v>
      </c>
      <c r="S23" s="332">
        <f ca="1">INDEX(OFFSET('Financial stress'!$D$1:$W$1,$D23-1,0),MATCH(S$4,'Financial stress'!$D$10:$W$10,0))</f>
        <v>82.77093063452682</v>
      </c>
      <c r="T23" s="332">
        <f ca="1">INDEX(OFFSET('Financial stress'!$D$1:$W$1,$D23-1,0),MATCH(T$4,'Financial stress'!$D$10:$W$10,0))</f>
        <v>81.886942426035986</v>
      </c>
      <c r="U23" s="332">
        <f ca="1">INDEX(OFFSET('Financial stress'!$D$1:$W$1,$D23-1,0),MATCH(U$4,'Financial stress'!$D$10:$W$10,0))</f>
        <v>81.183401175703139</v>
      </c>
      <c r="V23" s="332">
        <f ca="1">INDEX(OFFSET('Financial stress'!$D$1:$W$1,$D23-1,0),MATCH(V$4,'Financial stress'!$D$10:$W$10,0))</f>
        <v>80.641654954379831</v>
      </c>
      <c r="W23" s="332">
        <f ca="1">INDEX(OFFSET('Financial stress'!$D$1:$W$1,$D23-1,0),MATCH(W$4,'Financial stress'!$D$10:$W$10,0))</f>
        <v>80.222982341432541</v>
      </c>
      <c r="X23" s="332">
        <f ca="1">INDEX(OFFSET('Financial stress'!$D$1:$W$1,$D23-1,0),MATCH(X$4,'Financial stress'!$D$10:$W$10,0))</f>
        <v>80.108011920167428</v>
      </c>
      <c r="Y23" s="271"/>
    </row>
    <row r="24" spans="1:25" x14ac:dyDescent="0.2">
      <c r="A24" s="271"/>
      <c r="B24" s="339">
        <v>2</v>
      </c>
      <c r="C24" s="343" t="s">
        <v>94</v>
      </c>
      <c r="D24" s="344">
        <v>36</v>
      </c>
      <c r="E24" s="345" t="s">
        <v>227</v>
      </c>
      <c r="F24" s="332">
        <f ca="1">INDEX(OFFSET('Financial stress'!$D$1:$W$1,$D24-1,0),MATCH(F$4,'Financial stress'!$D$10:$W$10,0))</f>
        <v>3.48</v>
      </c>
      <c r="G24" s="332">
        <f ca="1">INDEX(OFFSET('Financial stress'!$D$1:$W$1,$D24-1,0),MATCH(G$4,'Financial stress'!$D$10:$W$10,0))</f>
        <v>3.2930959999999998</v>
      </c>
      <c r="H24" s="332">
        <f ca="1">INDEX(OFFSET('Financial stress'!$D$1:$W$1,$D24-1,0),MATCH(H$4,'Financial stress'!$D$10:$W$10,0))</f>
        <v>3.4118309999999998</v>
      </c>
      <c r="I24" s="332">
        <f ca="1">INDEX(OFFSET('Financial stress'!$D$1:$W$1,$D24-1,0),MATCH(I$4,'Financial stress'!$D$10:$W$10,0))</f>
        <v>3.5264958749999997</v>
      </c>
      <c r="J24" s="332">
        <f ca="1">INDEX(OFFSET('Financial stress'!$D$1:$W$1,$D24-1,0),MATCH(J$4,'Financial stress'!$D$10:$W$10,0))</f>
        <v>3.6411607499999996</v>
      </c>
      <c r="K24" s="332">
        <f ca="1">INDEX(OFFSET('Financial stress'!$D$1:$W$1,$D24-1,0),MATCH(K$4,'Financial stress'!$D$10:$W$10,0))</f>
        <v>3.7558256249999995</v>
      </c>
      <c r="L24" s="332">
        <f ca="1">INDEX(OFFSET('Financial stress'!$D$1:$W$1,$D24-1,0),MATCH(L$4,'Financial stress'!$D$10:$W$10,0))</f>
        <v>5.4353580444867982</v>
      </c>
      <c r="M24" s="332">
        <f ca="1">INDEX(OFFSET('Financial stress'!$D$1:$W$1,$D24-1,0),MATCH(M$4,'Financial stress'!$D$10:$W$10,0))</f>
        <v>3.9851553750000002</v>
      </c>
      <c r="N24" s="332">
        <f ca="1">INDEX(OFFSET('Financial stress'!$D$1:$W$1,$D24-1,0),MATCH(N$4,'Financial stress'!$D$10:$W$10,0))</f>
        <v>4.0998202500000005</v>
      </c>
      <c r="O24" s="332">
        <f ca="1">INDEX(OFFSET('Financial stress'!$D$1:$W$1,$D24-1,0),MATCH(O$4,'Financial stress'!$D$10:$W$10,0))</f>
        <v>4.2144851250000004</v>
      </c>
      <c r="P24" s="332">
        <f ca="1">INDEX(OFFSET('Financial stress'!$D$1:$W$1,$D24-1,0),MATCH(P$4,'Financial stress'!$D$10:$W$10,0))</f>
        <v>4.3291500000000003</v>
      </c>
      <c r="Q24" s="332">
        <f ca="1">INDEX(OFFSET('Financial stress'!$D$1:$W$1,$D24-1,0),MATCH(Q$4,'Financial stress'!$D$10:$W$10,0))</f>
        <v>4.3126925000000007</v>
      </c>
      <c r="R24" s="332">
        <f ca="1">INDEX(OFFSET('Financial stress'!$D$1:$W$1,$D24-1,0),MATCH(R$4,'Financial stress'!$D$10:$W$10,0))</f>
        <v>4.2962350000000002</v>
      </c>
      <c r="S24" s="332">
        <f ca="1">INDEX(OFFSET('Financial stress'!$D$1:$W$1,$D24-1,0),MATCH(S$4,'Financial stress'!$D$10:$W$10,0))</f>
        <v>4.2797774999999998</v>
      </c>
      <c r="T24" s="332">
        <f ca="1">INDEX(OFFSET('Financial stress'!$D$1:$W$1,$D24-1,0),MATCH(T$4,'Financial stress'!$D$10:$W$10,0))</f>
        <v>4.2633200000000002</v>
      </c>
      <c r="U24" s="332">
        <f ca="1">INDEX(OFFSET('Financial stress'!$D$1:$W$1,$D24-1,0),MATCH(U$4,'Financial stress'!$D$10:$W$10,0))</f>
        <v>4.2468625000000007</v>
      </c>
      <c r="V24" s="332">
        <f ca="1">INDEX(OFFSET('Financial stress'!$D$1:$W$1,$D24-1,0),MATCH(V$4,'Financial stress'!$D$10:$W$10,0))</f>
        <v>4.2304050000000002</v>
      </c>
      <c r="W24" s="332">
        <f ca="1">INDEX(OFFSET('Financial stress'!$D$1:$W$1,$D24-1,0),MATCH(W$4,'Financial stress'!$D$10:$W$10,0))</f>
        <v>4.2139474999999997</v>
      </c>
      <c r="X24" s="332">
        <f ca="1">INDEX(OFFSET('Financial stress'!$D$1:$W$1,$D24-1,0),MATCH(X$4,'Financial stress'!$D$10:$W$10,0))</f>
        <v>4.1974900000000002</v>
      </c>
      <c r="Y24" s="271"/>
    </row>
    <row r="25" spans="1:25" x14ac:dyDescent="0.2">
      <c r="A25" s="271"/>
      <c r="B25" s="339">
        <v>3</v>
      </c>
      <c r="C25" s="343" t="s">
        <v>95</v>
      </c>
      <c r="D25" s="344">
        <v>37</v>
      </c>
      <c r="E25" s="345" t="s">
        <v>227</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4.3361000444867983</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107.65412775375809</v>
      </c>
      <c r="G27" s="332">
        <f ca="1">INDEX(OFFSET('Lower SPB'!$D$1:$W$1,$D27-1,0),MATCH(G$4,'Lower SPB'!$D$10:$W$10,0))</f>
        <v>105.50997791462379</v>
      </c>
      <c r="H27" s="332">
        <f ca="1">INDEX(OFFSET('Lower SPB'!$D$1:$W$1,$D27-1,0),MATCH(H$4,'Lower SPB'!$D$10:$W$10,0))</f>
        <v>104.97907714628215</v>
      </c>
      <c r="I27" s="332">
        <f ca="1">INDEX(OFFSET('Lower SPB'!$D$1:$W$1,$D27-1,0),MATCH(I$4,'Lower SPB'!$D$10:$W$10,0))</f>
        <v>103.74121471198742</v>
      </c>
      <c r="J27" s="332">
        <f ca="1">INDEX(OFFSET('Lower SPB'!$D$1:$W$1,$D27-1,0),MATCH(J$4,'Lower SPB'!$D$10:$W$10,0))</f>
        <v>101.9403686820099</v>
      </c>
      <c r="K27" s="332">
        <f ca="1">INDEX(OFFSET('Lower SPB'!$D$1:$W$1,$D27-1,0),MATCH(K$4,'Lower SPB'!$D$10:$W$10,0))</f>
        <v>99.414459074779955</v>
      </c>
      <c r="L27" s="332">
        <f ca="1">INDEX(OFFSET('Lower SPB'!$D$1:$W$1,$D27-1,0),MATCH(L$4,'Lower SPB'!$D$10:$W$10,0))</f>
        <v>96.130551813696343</v>
      </c>
      <c r="M27" s="332">
        <f ca="1">INDEX(OFFSET('Lower SPB'!$D$1:$W$1,$D27-1,0),MATCH(M$4,'Lower SPB'!$D$10:$W$10,0))</f>
        <v>93.393586914431822</v>
      </c>
      <c r="N27" s="332">
        <f ca="1">INDEX(OFFSET('Lower SPB'!$D$1:$W$1,$D27-1,0),MATCH(N$4,'Lower SPB'!$D$10:$W$10,0))</f>
        <v>91.2850804036201</v>
      </c>
      <c r="O27" s="332">
        <f ca="1">INDEX(OFFSET('Lower SPB'!$D$1:$W$1,$D27-1,0),MATCH(O$4,'Lower SPB'!$D$10:$W$10,0))</f>
        <v>89.527283216041667</v>
      </c>
      <c r="P27" s="332">
        <f ca="1">INDEX(OFFSET('Lower SPB'!$D$1:$W$1,$D27-1,0),MATCH(P$4,'Lower SPB'!$D$10:$W$10,0))</f>
        <v>88.090150507725937</v>
      </c>
      <c r="Q27" s="332">
        <f ca="1">INDEX(OFFSET('Lower SPB'!$D$1:$W$1,$D27-1,0),MATCH(Q$4,'Lower SPB'!$D$10:$W$10,0))</f>
        <v>87.024441019306693</v>
      </c>
      <c r="R27" s="332">
        <f ca="1">INDEX(OFFSET('Lower SPB'!$D$1:$W$1,$D27-1,0),MATCH(R$4,'Lower SPB'!$D$10:$W$10,0))</f>
        <v>86.23304471083442</v>
      </c>
      <c r="S27" s="332">
        <f ca="1">INDEX(OFFSET('Lower SPB'!$D$1:$W$1,$D27-1,0),MATCH(S$4,'Lower SPB'!$D$10:$W$10,0))</f>
        <v>85.690015986411098</v>
      </c>
      <c r="T27" s="332">
        <f ca="1">INDEX(OFFSET('Lower SPB'!$D$1:$W$1,$D27-1,0),MATCH(T$4,'Lower SPB'!$D$10:$W$10,0))</f>
        <v>85.268732465646835</v>
      </c>
      <c r="U27" s="332">
        <f ca="1">INDEX(OFFSET('Lower SPB'!$D$1:$W$1,$D27-1,0),MATCH(U$4,'Lower SPB'!$D$10:$W$10,0))</f>
        <v>85.033011837933913</v>
      </c>
      <c r="V27" s="332">
        <f ca="1">INDEX(OFFSET('Lower SPB'!$D$1:$W$1,$D27-1,0),MATCH(V$4,'Lower SPB'!$D$10:$W$10,0))</f>
        <v>84.962383373160719</v>
      </c>
      <c r="W27" s="332">
        <f ca="1">INDEX(OFFSET('Lower SPB'!$D$1:$W$1,$D27-1,0),MATCH(W$4,'Lower SPB'!$D$10:$W$10,0))</f>
        <v>85.016023068858786</v>
      </c>
      <c r="X27" s="332">
        <f ca="1">INDEX(OFFSET('Lower SPB'!$D$1:$W$1,$D27-1,0),MATCH(X$4,'Lower SPB'!$D$10:$W$10,0))</f>
        <v>85.382122708345364</v>
      </c>
      <c r="Y27" s="271"/>
    </row>
    <row r="28" spans="1:25" x14ac:dyDescent="0.2">
      <c r="A28" s="271"/>
      <c r="B28" s="339">
        <v>5</v>
      </c>
      <c r="C28" s="343" t="s">
        <v>40</v>
      </c>
      <c r="D28" s="344">
        <v>12</v>
      </c>
      <c r="E28" s="345" t="s">
        <v>223</v>
      </c>
      <c r="F28" s="332">
        <f ca="1">INDEX(OFFSET('Lower SPB'!$D$1:$W$1,$D28-1,0),MATCH(F$4,'Lower SPB'!$D$10:$W$10,0))</f>
        <v>-1.6308560000000001</v>
      </c>
      <c r="G28" s="332">
        <f ca="1">INDEX(OFFSET('Lower SPB'!$D$1:$W$1,$D28-1,0),MATCH(G$4,'Lower SPB'!$D$10:$W$10,0))</f>
        <v>-0.84895830000000005</v>
      </c>
      <c r="H28" s="332">
        <f ca="1">INDEX(OFFSET('Lower SPB'!$D$1:$W$1,$D28-1,0),MATCH(H$4,'Lower SPB'!$D$10:$W$10,0))</f>
        <v>1.1041699999999932E-2</v>
      </c>
      <c r="I28" s="332">
        <f ca="1">INDEX(OFFSET('Lower SPB'!$D$1:$W$1,$D28-1,0),MATCH(I$4,'Lower SPB'!$D$10:$W$10,0))</f>
        <v>0.87104169999999992</v>
      </c>
      <c r="J28" s="332">
        <f ca="1">INDEX(OFFSET('Lower SPB'!$D$1:$W$1,$D28-1,0),MATCH(J$4,'Lower SPB'!$D$10:$W$10,0))</f>
        <v>1.7310417</v>
      </c>
      <c r="K28" s="332">
        <f ca="1">INDEX(OFFSET('Lower SPB'!$D$1:$W$1,$D28-1,0),MATCH(K$4,'Lower SPB'!$D$10:$W$10,0))</f>
        <v>2.5910416999999999</v>
      </c>
      <c r="L28" s="332">
        <f ca="1">INDEX(OFFSET('Lower SPB'!$D$1:$W$1,$D28-1,0),MATCH(L$4,'Lower SPB'!$D$10:$W$10,0))</f>
        <v>2.3410416999999999</v>
      </c>
      <c r="M28" s="332">
        <f ca="1">INDEX(OFFSET('Lower SPB'!$D$1:$W$1,$D28-1,0),MATCH(M$4,'Lower SPB'!$D$10:$W$10,0))</f>
        <v>2.0910416999999999</v>
      </c>
      <c r="N28" s="332">
        <f ca="1">INDEX(OFFSET('Lower SPB'!$D$1:$W$1,$D28-1,0),MATCH(N$4,'Lower SPB'!$D$10:$W$10,0))</f>
        <v>2.0910416999999999</v>
      </c>
      <c r="O28" s="332">
        <f ca="1">INDEX(OFFSET('Lower SPB'!$D$1:$W$1,$D28-1,0),MATCH(O$4,'Lower SPB'!$D$10:$W$10,0))</f>
        <v>2.0910416999999999</v>
      </c>
      <c r="P28" s="332">
        <f ca="1">INDEX(OFFSET('Lower SPB'!$D$1:$W$1,$D28-1,0),MATCH(P$4,'Lower SPB'!$D$10:$W$10,0))</f>
        <v>2.0910416999999999</v>
      </c>
      <c r="Q28" s="332">
        <f ca="1">INDEX(OFFSET('Lower SPB'!$D$1:$W$1,$D28-1,0),MATCH(Q$4,'Lower SPB'!$D$10:$W$10,0))</f>
        <v>2.0910416999999999</v>
      </c>
      <c r="R28" s="332">
        <f ca="1">INDEX(OFFSET('Lower SPB'!$D$1:$W$1,$D28-1,0),MATCH(R$4,'Lower SPB'!$D$10:$W$10,0))</f>
        <v>2.0910416999999999</v>
      </c>
      <c r="S28" s="332">
        <f ca="1">INDEX(OFFSET('Lower SPB'!$D$1:$W$1,$D28-1,0),MATCH(S$4,'Lower SPB'!$D$10:$W$10,0))</f>
        <v>2.0910416999999999</v>
      </c>
      <c r="T28" s="332">
        <f ca="1">INDEX(OFFSET('Lower SPB'!$D$1:$W$1,$D28-1,0),MATCH(T$4,'Lower SPB'!$D$10:$W$10,0))</f>
        <v>2.0910416999999999</v>
      </c>
      <c r="U28" s="332">
        <f ca="1">INDEX(OFFSET('Lower SPB'!$D$1:$W$1,$D28-1,0),MATCH(U$4,'Lower SPB'!$D$10:$W$10,0))</f>
        <v>2.0910416999999999</v>
      </c>
      <c r="V28" s="332">
        <f ca="1">INDEX(OFFSET('Lower SPB'!$D$1:$W$1,$D28-1,0),MATCH(V$4,'Lower SPB'!$D$10:$W$10,0))</f>
        <v>2.0910416999999999</v>
      </c>
      <c r="W28" s="332">
        <f ca="1">INDEX(OFFSET('Lower SPB'!$D$1:$W$1,$D28-1,0),MATCH(W$4,'Lower SPB'!$D$10:$W$10,0))</f>
        <v>2.0910416999999999</v>
      </c>
      <c r="X28" s="332">
        <f ca="1">INDEX(OFFSET('Lower SPB'!$D$1:$W$1,$D28-1,0),MATCH(X$4,'Lower SPB'!$D$10:$W$10,0))</f>
        <v>2.0910416999999999</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107.65412775375809</v>
      </c>
      <c r="G30" s="332">
        <f ca="1">INDEX(OFFSET('Adverse (r-g)'!$D$1:$W$1,$D30-1,0),MATCH(G$4,'Adverse (r-g)'!$D$10:$W$10,0))</f>
        <v>105.50997791462379</v>
      </c>
      <c r="H30" s="332">
        <f ca="1">INDEX(OFFSET('Adverse (r-g)'!$D$1:$W$1,$D30-1,0),MATCH(H$4,'Adverse (r-g)'!$D$10:$W$10,0))</f>
        <v>104.97907714628215</v>
      </c>
      <c r="I30" s="332">
        <f ca="1">INDEX(OFFSET('Adverse (r-g)'!$D$1:$W$1,$D30-1,0),MATCH(I$4,'Adverse (r-g)'!$D$10:$W$10,0))</f>
        <v>103.74121471198742</v>
      </c>
      <c r="J30" s="332">
        <f ca="1">INDEX(OFFSET('Adverse (r-g)'!$D$1:$W$1,$D30-1,0),MATCH(J$4,'Adverse (r-g)'!$D$10:$W$10,0))</f>
        <v>101.9403686820099</v>
      </c>
      <c r="K30" s="332">
        <f ca="1">INDEX(OFFSET('Adverse (r-g)'!$D$1:$W$1,$D30-1,0),MATCH(K$4,'Adverse (r-g)'!$D$10:$W$10,0))</f>
        <v>99.414459074779955</v>
      </c>
      <c r="L30" s="332">
        <f ca="1">INDEX(OFFSET('Adverse (r-g)'!$D$1:$W$1,$D30-1,0),MATCH(L$4,'Adverse (r-g)'!$D$10:$W$10,0))</f>
        <v>96.731565799407178</v>
      </c>
      <c r="M30" s="332">
        <f ca="1">INDEX(OFFSET('Adverse (r-g)'!$D$1:$W$1,$D30-1,0),MATCH(M$4,'Adverse (r-g)'!$D$10:$W$10,0))</f>
        <v>94.159075001442972</v>
      </c>
      <c r="N30" s="332">
        <f ca="1">INDEX(OFFSET('Adverse (r-g)'!$D$1:$W$1,$D30-1,0),MATCH(N$4,'Adverse (r-g)'!$D$10:$W$10,0))</f>
        <v>91.741310740030329</v>
      </c>
      <c r="O30" s="332">
        <f ca="1">INDEX(OFFSET('Adverse (r-g)'!$D$1:$W$1,$D30-1,0),MATCH(O$4,'Adverse (r-g)'!$D$10:$W$10,0))</f>
        <v>90.121338020652288</v>
      </c>
      <c r="P30" s="332">
        <f ca="1">INDEX(OFFSET('Adverse (r-g)'!$D$1:$W$1,$D30-1,0),MATCH(P$4,'Adverse (r-g)'!$D$10:$W$10,0))</f>
        <v>88.883332746648648</v>
      </c>
      <c r="Q30" s="332">
        <f ca="1">INDEX(OFFSET('Adverse (r-g)'!$D$1:$W$1,$D30-1,0),MATCH(Q$4,'Adverse (r-g)'!$D$10:$W$10,0))</f>
        <v>87.959782322469991</v>
      </c>
      <c r="R30" s="332">
        <f ca="1">INDEX(OFFSET('Adverse (r-g)'!$D$1:$W$1,$D30-1,0),MATCH(R$4,'Adverse (r-g)'!$D$10:$W$10,0))</f>
        <v>87.326076869011274</v>
      </c>
      <c r="S30" s="332">
        <f ca="1">INDEX(OFFSET('Adverse (r-g)'!$D$1:$W$1,$D30-1,0),MATCH(S$4,'Adverse (r-g)'!$D$10:$W$10,0))</f>
        <v>86.956721579142965</v>
      </c>
      <c r="T30" s="332">
        <f ca="1">INDEX(OFFSET('Adverse (r-g)'!$D$1:$W$1,$D30-1,0),MATCH(T$4,'Adverse (r-g)'!$D$10:$W$10,0))</f>
        <v>86.722560685183879</v>
      </c>
      <c r="U30" s="332">
        <f ca="1">INDEX(OFFSET('Adverse (r-g)'!$D$1:$W$1,$D30-1,0),MATCH(U$4,'Adverse (r-g)'!$D$10:$W$10,0))</f>
        <v>86.688650689804447</v>
      </c>
      <c r="V30" s="332">
        <f ca="1">INDEX(OFFSET('Adverse (r-g)'!$D$1:$W$1,$D30-1,0),MATCH(V$4,'Adverse (r-g)'!$D$10:$W$10,0))</f>
        <v>86.834102318242046</v>
      </c>
      <c r="W30" s="332">
        <f ca="1">INDEX(OFFSET('Adverse (r-g)'!$D$1:$W$1,$D30-1,0),MATCH(W$4,'Adverse (r-g)'!$D$10:$W$10,0))</f>
        <v>87.117399176058925</v>
      </c>
      <c r="X30" s="332">
        <f ca="1">INDEX(OFFSET('Adverse (r-g)'!$D$1:$W$1,$D30-1,0),MATCH(X$4,'Adverse (r-g)'!$D$10:$W$10,0))</f>
        <v>87.732400055985494</v>
      </c>
      <c r="Y30" s="271"/>
    </row>
    <row r="31" spans="1:25" x14ac:dyDescent="0.2">
      <c r="A31" s="271"/>
      <c r="B31" s="339">
        <v>7</v>
      </c>
      <c r="C31" s="343" t="s">
        <v>94</v>
      </c>
      <c r="D31" s="344">
        <v>37</v>
      </c>
      <c r="E31" s="345" t="s">
        <v>227</v>
      </c>
      <c r="F31" s="332">
        <f ca="1">INDEX(OFFSET('Adverse (r-g)'!$D$1:$W$1,$D31-1,0),MATCH(F$4,'Adverse (r-g)'!$D$10:$W$10,0))</f>
        <v>3.48</v>
      </c>
      <c r="G31" s="332">
        <f ca="1">INDEX(OFFSET('Adverse (r-g)'!$D$1:$W$1,$D31-1,0),MATCH(G$4,'Adverse (r-g)'!$D$10:$W$10,0))</f>
        <v>3.2930959999999998</v>
      </c>
      <c r="H31" s="332">
        <f ca="1">INDEX(OFFSET('Adverse (r-g)'!$D$1:$W$1,$D31-1,0),MATCH(H$4,'Adverse (r-g)'!$D$10:$W$10,0))</f>
        <v>3.4118309999999998</v>
      </c>
      <c r="I31" s="332">
        <f ca="1">INDEX(OFFSET('Adverse (r-g)'!$D$1:$W$1,$D31-1,0),MATCH(I$4,'Adverse (r-g)'!$D$10:$W$10,0))</f>
        <v>3.5264958749999997</v>
      </c>
      <c r="J31" s="332">
        <f ca="1">INDEX(OFFSET('Adverse (r-g)'!$D$1:$W$1,$D31-1,0),MATCH(J$4,'Adverse (r-g)'!$D$10:$W$10,0))</f>
        <v>3.6411607500000001</v>
      </c>
      <c r="K31" s="332">
        <f ca="1">INDEX(OFFSET('Adverse (r-g)'!$D$1:$W$1,$D31-1,0),MATCH(K$4,'Adverse (r-g)'!$D$10:$W$10,0))</f>
        <v>3.7558256249999999</v>
      </c>
      <c r="L31" s="332">
        <f ca="1">INDEX(OFFSET('Adverse (r-g)'!$D$1:$W$1,$D31-1,0),MATCH(L$4,'Adverse (r-g)'!$D$10:$W$10,0))</f>
        <v>4.3704904999999998</v>
      </c>
      <c r="M31" s="332">
        <f ca="1">INDEX(OFFSET('Adverse (r-g)'!$D$1:$W$1,$D31-1,0),MATCH(M$4,'Adverse (r-g)'!$D$10:$W$10,0))</f>
        <v>4.4851553749999997</v>
      </c>
      <c r="N31" s="332">
        <f ca="1">INDEX(OFFSET('Adverse (r-g)'!$D$1:$W$1,$D31-1,0),MATCH(N$4,'Adverse (r-g)'!$D$10:$W$10,0))</f>
        <v>4.5998202500000005</v>
      </c>
      <c r="O31" s="332">
        <f ca="1">INDEX(OFFSET('Adverse (r-g)'!$D$1:$W$1,$D31-1,0),MATCH(O$4,'Adverse (r-g)'!$D$10:$W$10,0))</f>
        <v>4.7144851250000004</v>
      </c>
      <c r="P31" s="332">
        <f ca="1">INDEX(OFFSET('Adverse (r-g)'!$D$1:$W$1,$D31-1,0),MATCH(P$4,'Adverse (r-g)'!$D$10:$W$10,0))</f>
        <v>4.8291500000000003</v>
      </c>
      <c r="Q31" s="332">
        <f ca="1">INDEX(OFFSET('Adverse (r-g)'!$D$1:$W$1,$D31-1,0),MATCH(Q$4,'Adverse (r-g)'!$D$10:$W$10,0))</f>
        <v>4.8126925000000007</v>
      </c>
      <c r="R31" s="332">
        <f ca="1">INDEX(OFFSET('Adverse (r-g)'!$D$1:$W$1,$D31-1,0),MATCH(R$4,'Adverse (r-g)'!$D$10:$W$10,0))</f>
        <v>4.7962350000000002</v>
      </c>
      <c r="S31" s="332">
        <f ca="1">INDEX(OFFSET('Adverse (r-g)'!$D$1:$W$1,$D31-1,0),MATCH(S$4,'Adverse (r-g)'!$D$10:$W$10,0))</f>
        <v>4.7797774999999998</v>
      </c>
      <c r="T31" s="332">
        <f ca="1">INDEX(OFFSET('Adverse (r-g)'!$D$1:$W$1,$D31-1,0),MATCH(T$4,'Adverse (r-g)'!$D$10:$W$10,0))</f>
        <v>4.7633200000000002</v>
      </c>
      <c r="U31" s="332">
        <f ca="1">INDEX(OFFSET('Adverse (r-g)'!$D$1:$W$1,$D31-1,0),MATCH(U$4,'Adverse (r-g)'!$D$10:$W$10,0))</f>
        <v>4.7468625000000007</v>
      </c>
      <c r="V31" s="332">
        <f ca="1">INDEX(OFFSET('Adverse (r-g)'!$D$1:$W$1,$D31-1,0),MATCH(V$4,'Adverse (r-g)'!$D$10:$W$10,0))</f>
        <v>4.7304050000000002</v>
      </c>
      <c r="W31" s="332">
        <f ca="1">INDEX(OFFSET('Adverse (r-g)'!$D$1:$W$1,$D31-1,0),MATCH(W$4,'Adverse (r-g)'!$D$10:$W$10,0))</f>
        <v>4.7139474999999997</v>
      </c>
      <c r="X31" s="332">
        <f ca="1">INDEX(OFFSET('Adverse (r-g)'!$D$1:$W$1,$D31-1,0),MATCH(X$4,'Adverse (r-g)'!$D$10:$W$10,0))</f>
        <v>4.6974900000000002</v>
      </c>
      <c r="Y31" s="271"/>
    </row>
    <row r="32" spans="1:25" x14ac:dyDescent="0.2">
      <c r="A32" s="271"/>
      <c r="B32" s="339">
        <v>8</v>
      </c>
      <c r="C32" s="343" t="s">
        <v>95</v>
      </c>
      <c r="D32" s="344">
        <v>38</v>
      </c>
      <c r="E32" s="345" t="s">
        <v>227</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231</v>
      </c>
      <c r="D33" s="344">
        <v>23</v>
      </c>
      <c r="E33" s="345" t="s">
        <v>230</v>
      </c>
      <c r="F33" s="332">
        <f ca="1">INDEX(OFFSET('Adverse (r-g)'!$D$1:$W$1,$D33-1,0),MATCH(F$4,'Adverse (r-g)'!$D$10:$W$10,0))</f>
        <v>2.5032940000000004</v>
      </c>
      <c r="G33" s="332">
        <f ca="1">INDEX(OFFSET('Adverse (r-g)'!$D$1:$W$1,$D33-1,0),MATCH(G$4,'Adverse (r-g)'!$D$10:$W$10,0))</f>
        <v>2.1447170000000071</v>
      </c>
      <c r="H33" s="332">
        <f ca="1">INDEX(OFFSET('Adverse (r-g)'!$D$1:$W$1,$D33-1,0),MATCH(H$4,'Adverse (r-g)'!$D$10:$W$10,0))</f>
        <v>1.3821190000000039</v>
      </c>
      <c r="I33" s="332">
        <f ca="1">INDEX(OFFSET('Adverse (r-g)'!$D$1:$W$1,$D33-1,0),MATCH(I$4,'Adverse (r-g)'!$D$10:$W$10,0))</f>
        <v>0.84440220190526993</v>
      </c>
      <c r="J33" s="332">
        <f ca="1">INDEX(OFFSET('Adverse (r-g)'!$D$1:$W$1,$D33-1,0),MATCH(J$4,'Adverse (r-g)'!$D$10:$W$10,0))</f>
        <v>0.92296823296240671</v>
      </c>
      <c r="K33" s="332">
        <f ca="1">INDEX(OFFSET('Adverse (r-g)'!$D$1:$W$1,$D33-1,0),MATCH(K$4,'Adverse (r-g)'!$D$10:$W$10,0))</f>
        <v>1.062998371462176</v>
      </c>
      <c r="L33" s="332">
        <f ca="1">INDEX(OFFSET('Adverse (r-g)'!$D$1:$W$1,$D33-1,0),MATCH(L$4,'Adverse (r-g)'!$D$10:$W$10,0))</f>
        <v>1.2606764081154243</v>
      </c>
      <c r="M33" s="332">
        <f ca="1">INDEX(OFFSET('Adverse (r-g)'!$D$1:$W$1,$D33-1,0),MATCH(M$4,'Adverse (r-g)'!$D$10:$W$10,0))</f>
        <v>1.1864721504377007</v>
      </c>
      <c r="N33" s="332">
        <f ca="1">INDEX(OFFSET('Adverse (r-g)'!$D$1:$W$1,$D33-1,0),MATCH(N$4,'Adverse (r-g)'!$D$10:$W$10,0))</f>
        <v>1.1000243281398703</v>
      </c>
      <c r="O33" s="332">
        <f ca="1">INDEX(OFFSET('Adverse (r-g)'!$D$1:$W$1,$D33-1,0),MATCH(O$4,'Adverse (r-g)'!$D$10:$W$10,0))</f>
        <v>0.59503100000000142</v>
      </c>
      <c r="P33" s="332">
        <f ca="1">INDEX(OFFSET('Adverse (r-g)'!$D$1:$W$1,$D33-1,0),MATCH(P$4,'Adverse (r-g)'!$D$10:$W$10,0))</f>
        <v>0.53652500000000991</v>
      </c>
      <c r="Q33" s="332">
        <f ca="1">INDEX(OFFSET('Adverse (r-g)'!$D$1:$W$1,$D33-1,0),MATCH(Q$4,'Adverse (r-g)'!$D$10:$W$10,0))</f>
        <v>0.58311499999998961</v>
      </c>
      <c r="R33" s="332">
        <f ca="1">INDEX(OFFSET('Adverse (r-g)'!$D$1:$W$1,$D33-1,0),MATCH(R$4,'Adverse (r-g)'!$D$10:$W$10,0))</f>
        <v>0.62970799999999549</v>
      </c>
      <c r="S33" s="332">
        <f ca="1">INDEX(OFFSET('Adverse (r-g)'!$D$1:$W$1,$D33-1,0),MATCH(S$4,'Adverse (r-g)'!$D$10:$W$10,0))</f>
        <v>0.6763019999999953</v>
      </c>
      <c r="T33" s="332">
        <f ca="1">INDEX(OFFSET('Adverse (r-g)'!$D$1:$W$1,$D33-1,0),MATCH(T$4,'Adverse (r-g)'!$D$10:$W$10,0))</f>
        <v>0.84729599999999738</v>
      </c>
      <c r="U33" s="332">
        <f ca="1">INDEX(OFFSET('Adverse (r-g)'!$D$1:$W$1,$D33-1,0),MATCH(U$4,'Adverse (r-g)'!$D$10:$W$10,0))</f>
        <v>0.9308340000000026</v>
      </c>
      <c r="V33" s="332">
        <f ca="1">INDEX(OFFSET('Adverse (r-g)'!$D$1:$W$1,$D33-1,0),MATCH(V$4,'Adverse (r-g)'!$D$10:$W$10,0))</f>
        <v>1.027657999999998</v>
      </c>
      <c r="W33" s="332">
        <f ca="1">INDEX(OFFSET('Adverse (r-g)'!$D$1:$W$1,$D33-1,0),MATCH(W$4,'Adverse (r-g)'!$D$10:$W$10,0))</f>
        <v>1.1417400000000022</v>
      </c>
      <c r="X33" s="332">
        <f ca="1">INDEX(OFFSET('Adverse (r-g)'!$D$1:$W$1,$D33-1,0),MATCH(X$4,'Adverse (r-g)'!$D$10:$W$10,0))</f>
        <v>1.063322000000011</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1.8783989999999973</v>
      </c>
      <c r="G34" s="332">
        <f ca="1">(INDEX(OFFSET('Adverse (r-g)'!$D$1:$W$1,$D34-1,0),MATCH(G$4,'Adverse (r-g)'!$D$10:$W$10,0))/INDEX(OFFSET('Adverse (r-g)'!$D$1:$W$1,$D34-1,0),MATCH(F$4,'Adverse (r-g)'!$D$10:$W$10,0))-1)*100</f>
        <v>1.9185549999999996</v>
      </c>
      <c r="H34" s="332">
        <f ca="1">(INDEX(OFFSET('Adverse (r-g)'!$D$1:$W$1,$D34-1,0),MATCH(H$4,'Adverse (r-g)'!$D$10:$W$10,0))/INDEX(OFFSET('Adverse (r-g)'!$D$1:$W$1,$D34-1,0),MATCH(G$4,'Adverse (r-g)'!$D$10:$W$10,0))-1)*100</f>
        <v>2.0213330000000029</v>
      </c>
      <c r="I34" s="332">
        <f ca="1">(INDEX(OFFSET('Adverse (r-g)'!$D$1:$W$1,$D34-1,0),MATCH(I$4,'Adverse (r-g)'!$D$10:$W$10,0))/INDEX(OFFSET('Adverse (r-g)'!$D$1:$W$1,$D34-1,0),MATCH(H$4,'Adverse (r-g)'!$D$10:$W$10,0))-1)*100</f>
        <v>1.6085399999999916</v>
      </c>
      <c r="J34" s="332">
        <f ca="1">(INDEX(OFFSET('Adverse (r-g)'!$D$1:$W$1,$D34-1,0),MATCH(J$4,'Adverse (r-g)'!$D$10:$W$10,0))/INDEX(OFFSET('Adverse (r-g)'!$D$1:$W$1,$D34-1,0),MATCH(I$4,'Adverse (r-g)'!$D$10:$W$10,0))-1)*100</f>
        <v>1.4316039999999974</v>
      </c>
      <c r="K34" s="332">
        <f ca="1">(INDEX(OFFSET('Adverse (r-g)'!$D$1:$W$1,$D34-1,0),MATCH(K$4,'Adverse (r-g)'!$D$10:$W$10,0))/INDEX(OFFSET('Adverse (r-g)'!$D$1:$W$1,$D34-1,0),MATCH(J$4,'Adverse (r-g)'!$D$10:$W$10,0))-1)*100</f>
        <v>1.4006409999999914</v>
      </c>
      <c r="L34" s="332">
        <f ca="1">(INDEX(OFFSET('Adverse (r-g)'!$D$1:$W$1,$D34-1,0),MATCH(L$4,'Adverse (r-g)'!$D$10:$W$10,0))/INDEX(OFFSET('Adverse (r-g)'!$D$1:$W$1,$D34-1,0),MATCH(K$4,'Adverse (r-g)'!$D$10:$W$10,0))-1)*100</f>
        <v>0.84169099999999997</v>
      </c>
      <c r="M34" s="332">
        <f ca="1">(INDEX(OFFSET('Adverse (r-g)'!$D$1:$W$1,$D34-1,0),MATCH(M$4,'Adverse (r-g)'!$D$10:$W$10,0))/INDEX(OFFSET('Adverse (r-g)'!$D$1:$W$1,$D34-1,0),MATCH(L$4,'Adverse (r-g)'!$D$10:$W$10,0))-1)*100</f>
        <v>0.76951900000001849</v>
      </c>
      <c r="N34" s="332">
        <f ca="1">(INDEX(OFFSET('Adverse (r-g)'!$D$1:$W$1,$D34-1,0),MATCH(N$4,'Adverse (r-g)'!$D$10:$W$10,0))/INDEX(OFFSET('Adverse (r-g)'!$D$1:$W$1,$D34-1,0),MATCH(M$4,'Adverse (r-g)'!$D$10:$W$10,0))-1)*100</f>
        <v>0.68513700000001343</v>
      </c>
      <c r="O34" s="332">
        <f ca="1">(INDEX(OFFSET('Adverse (r-g)'!$D$1:$W$1,$D34-1,0),MATCH(O$4,'Adverse (r-g)'!$D$10:$W$10,0))/INDEX(OFFSET('Adverse (r-g)'!$D$1:$W$1,$D34-1,0),MATCH(N$4,'Adverse (r-g)'!$D$10:$W$10,0))-1)*100</f>
        <v>0.59503200000001755</v>
      </c>
      <c r="P34" s="332">
        <f ca="1">(INDEX(OFFSET('Adverse (r-g)'!$D$1:$W$1,$D34-1,0),MATCH(P$4,'Adverse (r-g)'!$D$10:$W$10,0))/INDEX(OFFSET('Adverse (r-g)'!$D$1:$W$1,$D34-1,0),MATCH(O$4,'Adverse (r-g)'!$D$10:$W$10,0))-1)*100</f>
        <v>0.53652299999999986</v>
      </c>
      <c r="Q34" s="332">
        <f ca="1">(INDEX(OFFSET('Adverse (r-g)'!$D$1:$W$1,$D34-1,0),MATCH(Q$4,'Adverse (r-g)'!$D$10:$W$10,0))/INDEX(OFFSET('Adverse (r-g)'!$D$1:$W$1,$D34-1,0),MATCH(P$4,'Adverse (r-g)'!$D$10:$W$10,0))-1)*100</f>
        <v>0.58311600000000574</v>
      </c>
      <c r="R34" s="332">
        <f ca="1">(INDEX(OFFSET('Adverse (r-g)'!$D$1:$W$1,$D34-1,0),MATCH(R$4,'Adverse (r-g)'!$D$10:$W$10,0))/INDEX(OFFSET('Adverse (r-g)'!$D$1:$W$1,$D34-1,0),MATCH(Q$4,'Adverse (r-g)'!$D$10:$W$10,0))-1)*100</f>
        <v>0.6297080000000177</v>
      </c>
      <c r="S34" s="332">
        <f ca="1">(INDEX(OFFSET('Adverse (r-g)'!$D$1:$W$1,$D34-1,0),MATCH(S$4,'Adverse (r-g)'!$D$10:$W$10,0))/INDEX(OFFSET('Adverse (r-g)'!$D$1:$W$1,$D34-1,0),MATCH(R$4,'Adverse (r-g)'!$D$10:$W$10,0))-1)*100</f>
        <v>0.67630100000000137</v>
      </c>
      <c r="T34" s="332">
        <f ca="1">(INDEX(OFFSET('Adverse (r-g)'!$D$1:$W$1,$D34-1,0),MATCH(T$4,'Adverse (r-g)'!$D$10:$W$10,0))/INDEX(OFFSET('Adverse (r-g)'!$D$1:$W$1,$D34-1,0),MATCH(S$4,'Adverse (r-g)'!$D$10:$W$10,0))-1)*100</f>
        <v>0.84729500000000346</v>
      </c>
      <c r="U34" s="332">
        <f ca="1">(INDEX(OFFSET('Adverse (r-g)'!$D$1:$W$1,$D34-1,0),MATCH(U$4,'Adverse (r-g)'!$D$10:$W$10,0))/INDEX(OFFSET('Adverse (r-g)'!$D$1:$W$1,$D34-1,0),MATCH(T$4,'Adverse (r-g)'!$D$10:$W$10,0))-1)*100</f>
        <v>0.93083600000001265</v>
      </c>
      <c r="V34" s="332">
        <f ca="1">(INDEX(OFFSET('Adverse (r-g)'!$D$1:$W$1,$D34-1,0),MATCH(V$4,'Adverse (r-g)'!$D$10:$W$10,0))/INDEX(OFFSET('Adverse (r-g)'!$D$1:$W$1,$D34-1,0),MATCH(U$4,'Adverse (r-g)'!$D$10:$W$10,0))-1)*100</f>
        <v>1.0276550000000162</v>
      </c>
      <c r="W34" s="332">
        <f ca="1">(INDEX(OFFSET('Adverse (r-g)'!$D$1:$W$1,$D34-1,0),MATCH(W$4,'Adverse (r-g)'!$D$10:$W$10,0))/INDEX(OFFSET('Adverse (r-g)'!$D$1:$W$1,$D34-1,0),MATCH(V$4,'Adverse (r-g)'!$D$10:$W$10,0))-1)*100</f>
        <v>1.1417390000000083</v>
      </c>
      <c r="X34" s="332">
        <f ca="1">(INDEX(OFFSET('Adverse (r-g)'!$D$1:$W$1,$D34-1,0),MATCH(X$4,'Adverse (r-g)'!$D$10:$W$10,0))/INDEX(OFFSET('Adverse (r-g)'!$D$1:$W$1,$D34-1,0),MATCH(W$4,'Adverse (r-g)'!$D$10:$W$10,0))-1)*100</f>
        <v>1.0633260000000089</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86.522881413543985</v>
      </c>
      <c r="G36" s="362"/>
      <c r="H36" s="352">
        <f>INDEX(Stochastic!$C$11:$W$11,MATCH('Input data'!$C$6,Stochastic!$C$10:$W$10,0))</f>
        <v>99.41445907477997</v>
      </c>
      <c r="I36" s="353">
        <f ca="1">MATCH($H$36,OFFSET(Stochastic!$F$14:$F$18,0,'Input data'!$C$6-'Input data'!$C$5+5),1)</f>
        <v>4</v>
      </c>
      <c r="J36" s="353" t="str" cm="1">
        <f t="array" aca="1" ref="J36" ca="1">MID(INDEX(Stochastic!$B$14:$B$18,$I$36),2,2)</f>
        <v>70</v>
      </c>
      <c r="K36" s="352" cm="1">
        <f t="array" aca="1" ref="K36" ca="1">INDEX(OFFSET(Stochastic!$F$14:$F$18,0,'Input data'!$C$6-'Input data'!$C$5+5),$I$36)</f>
        <v>91.96306463017909</v>
      </c>
      <c r="L36" s="353" t="str" cm="1">
        <f t="array" aca="1" ref="L36" ca="1">MID(INDEX(Stochastic!$B$14:$B$18,$I$36+1),2,2)</f>
        <v>90</v>
      </c>
      <c r="M36" s="352" cm="1">
        <f t="array" aca="1" ref="M36" ca="1">INDEX(OFFSET(Stochastic!$F$14:$F$18,0,'Input data'!$C$6-'Input data'!$C$5+5),$I$36+1)</f>
        <v>100.9825501038119</v>
      </c>
      <c r="N36" s="352"/>
      <c r="O36" s="353">
        <f ca="1">IF(ISERROR($I$36),1,4)</f>
        <v>4</v>
      </c>
      <c r="P36" s="353">
        <f ca="1">IF(ISERROR($I$36),10,70)</f>
        <v>70</v>
      </c>
      <c r="Q36" s="352" cm="1">
        <f t="array" aca="1" ref="Q36" ca="1">INDEX(OFFSET(Stochastic!$F$14:$F$18,0,'Input data'!$C$6-'Input data'!$C$5+5),$O$36)</f>
        <v>91.96306463017909</v>
      </c>
      <c r="R36" s="353">
        <f ca="1">P36+20</f>
        <v>90</v>
      </c>
      <c r="S36" s="352" cm="1">
        <f t="array" aca="1" ref="S36" ca="1">INDEX(OFFSET(Stochastic!$F$14:$F$18,0,'Input data'!$C$6-'Input data'!$C$5+5),$O$36+1)</f>
        <v>100.9825501038119</v>
      </c>
      <c r="T36" s="357">
        <f ca="1">IF($I$36=5,20/(S36-Q36),IF(ISERROR($I$36),20/(S36-Q36),20/(M36-K36)))</f>
        <v>2.2174213882229941</v>
      </c>
      <c r="U36" s="109"/>
      <c r="V36" s="363" t="str">
        <f ca="1">IFERROR($J$36,10)</f>
        <v>70</v>
      </c>
      <c r="W36" s="364">
        <f ca="1">IF($V$36=10,$Q$36,$K$36)</f>
        <v>91.96306463017909</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107.65412775375809</v>
      </c>
      <c r="G41" s="332">
        <f ca="1">INDEX(OFFSET('Baseline NFPC'!$D$1:$W$1,$D41-1,0),MATCH(G$4,'Baseline NFPC'!$D$10:$W$10,0))</f>
        <v>105.5099779146238</v>
      </c>
      <c r="H41" s="332">
        <f ca="1">INDEX(OFFSET('Baseline NFPC'!$D$1:$W$1,$D41-1,0),MATCH(H$4,'Baseline NFPC'!$D$10:$W$10,0))</f>
        <v>104.84801239723276</v>
      </c>
      <c r="I41" s="332">
        <f ca="1">INDEX(OFFSET('Baseline NFPC'!$D$1:$W$1,$D41-1,0),MATCH(I$4,'Baseline NFPC'!$D$10:$W$10,0))</f>
        <v>104.38350015230243</v>
      </c>
      <c r="J41" s="332">
        <f ca="1">INDEX(OFFSET('Baseline NFPC'!$D$1:$W$1,$D41-1,0),MATCH(J$4,'Baseline NFPC'!$D$10:$W$10,0))</f>
        <v>104.6661474654738</v>
      </c>
      <c r="K41" s="332">
        <f ca="1">INDEX(OFFSET('Baseline NFPC'!$D$1:$W$1,$D41-1,0),MATCH(K$4,'Baseline NFPC'!$D$10:$W$10,0))</f>
        <v>105.0526157141781</v>
      </c>
      <c r="L41" s="332">
        <f ca="1">INDEX(OFFSET('Baseline NFPC'!$D$1:$W$1,$D41-1,0),MATCH(L$4,'Baseline NFPC'!$D$10:$W$10,0))</f>
        <v>105.48268213920724</v>
      </c>
      <c r="M41" s="332">
        <f ca="1">INDEX(OFFSET('Baseline NFPC'!$D$1:$W$1,$D41-1,0),MATCH(M$4,'Baseline NFPC'!$D$10:$W$10,0))</f>
        <v>106.23984981003267</v>
      </c>
      <c r="N41" s="332">
        <f ca="1">INDEX(OFFSET('Baseline NFPC'!$D$1:$W$1,$D41-1,0),MATCH(N$4,'Baseline NFPC'!$D$10:$W$10,0))</f>
        <v>107.38281295973444</v>
      </c>
      <c r="O41" s="332">
        <f ca="1">INDEX(OFFSET('Baseline NFPC'!$D$1:$W$1,$D41-1,0),MATCH(O$4,'Baseline NFPC'!$D$10:$W$10,0))</f>
        <v>108.94864461631695</v>
      </c>
      <c r="P41" s="332">
        <f ca="1">INDEX(OFFSET('Baseline NFPC'!$D$1:$W$1,$D41-1,0),MATCH(P$4,'Baseline NFPC'!$D$10:$W$10,0))</f>
        <v>110.91109454617161</v>
      </c>
      <c r="Q41" s="332">
        <f ca="1">INDEX(OFFSET('Baseline NFPC'!$D$1:$W$1,$D41-1,0),MATCH(Q$4,'Baseline NFPC'!$D$10:$W$10,0))</f>
        <v>113.1915296618243</v>
      </c>
      <c r="R41" s="332">
        <f ca="1">INDEX(OFFSET('Baseline NFPC'!$D$1:$W$1,$D41-1,0),MATCH(R$4,'Baseline NFPC'!$D$10:$W$10,0))</f>
        <v>115.76213103111911</v>
      </c>
      <c r="S41" s="332">
        <f ca="1">INDEX(OFFSET('Baseline NFPC'!$D$1:$W$1,$D41-1,0),MATCH(S$4,'Baseline NFPC'!$D$10:$W$10,0))</f>
        <v>118.59423561922689</v>
      </c>
      <c r="T41" s="332">
        <f ca="1">INDEX(OFFSET('Baseline NFPC'!$D$1:$W$1,$D41-1,0),MATCH(T$4,'Baseline NFPC'!$D$10:$W$10,0))</f>
        <v>121.51796696446314</v>
      </c>
      <c r="U41" s="332">
        <f ca="1">INDEX(OFFSET('Baseline NFPC'!$D$1:$W$1,$D41-1,0),MATCH(U$4,'Baseline NFPC'!$D$10:$W$10,0))</f>
        <v>124.61752211977527</v>
      </c>
      <c r="V41" s="332">
        <f ca="1">INDEX(OFFSET('Baseline NFPC'!$D$1:$W$1,$D41-1,0),MATCH(V$4,'Baseline NFPC'!$D$10:$W$10,0))</f>
        <v>127.86213778870857</v>
      </c>
      <c r="W41" s="332">
        <f ca="1">INDEX(OFFSET('Baseline NFPC'!$D$1:$W$1,$D41-1,0),MATCH(W$4,'Baseline NFPC'!$D$10:$W$10,0))</f>
        <v>131.1977912642939</v>
      </c>
      <c r="X41" s="332">
        <f ca="1">INDEX(OFFSET('Baseline NFPC'!$D$1:$W$1,$D41-1,0),MATCH(X$4,'Baseline NFPC'!$D$10:$W$10,0))</f>
        <v>134.89328259069362</v>
      </c>
      <c r="Y41" s="271"/>
    </row>
    <row r="42" spans="1:25" x14ac:dyDescent="0.2">
      <c r="A42" s="271"/>
      <c r="B42" s="339">
        <v>2</v>
      </c>
      <c r="C42" s="343" t="s">
        <v>222</v>
      </c>
      <c r="D42" s="344">
        <v>76</v>
      </c>
      <c r="E42" s="345" t="s">
        <v>221</v>
      </c>
      <c r="F42" s="332">
        <f ca="1">INDEX(OFFSET('Baseline NFPC'!$D$1:$W$1,$D42-1,0),MATCH(F$4,'Baseline NFPC'!$D$10:$W$10,0))</f>
        <v>-3.636221191098254</v>
      </c>
      <c r="G42" s="332">
        <f ca="1">INDEX(OFFSET('Baseline NFPC'!$D$1:$W$1,$D42-1,0),MATCH(G$4,'Baseline NFPC'!$D$10:$W$10,0))</f>
        <v>-2.9820083201233079</v>
      </c>
      <c r="H42" s="332">
        <f ca="1">INDEX(OFFSET('Baseline NFPC'!$D$1:$W$1,$D42-1,0),MATCH(H$4,'Baseline NFPC'!$D$10:$W$10,0))</f>
        <v>-2.8611395893505343</v>
      </c>
      <c r="I42" s="332">
        <f ca="1">INDEX(OFFSET('Baseline NFPC'!$D$1:$W$1,$D42-1,0),MATCH(I$4,'Baseline NFPC'!$D$10:$W$10,0))</f>
        <v>-3.2516022746306121</v>
      </c>
      <c r="J42" s="332">
        <f ca="1">INDEX(OFFSET('Baseline NFPC'!$D$1:$W$1,$D42-1,0),MATCH(J$4,'Baseline NFPC'!$D$10:$W$10,0))</f>
        <v>-3.7203093501764086</v>
      </c>
      <c r="K42" s="332">
        <f ca="1">INDEX(OFFSET('Baseline NFPC'!$D$1:$W$1,$D42-1,0),MATCH(K$4,'Baseline NFPC'!$D$10:$W$10,0))</f>
        <v>-4.0492591316428435</v>
      </c>
      <c r="L42" s="332">
        <f ca="1">INDEX(OFFSET('Baseline NFPC'!$D$1:$W$1,$D42-1,0),MATCH(L$4,'Baseline NFPC'!$D$10:$W$10,0))</f>
        <v>-4.2960708156092231</v>
      </c>
      <c r="M42" s="332">
        <f ca="1">INDEX(OFFSET('Baseline NFPC'!$D$1:$W$1,$D42-1,0),MATCH(M$4,'Baseline NFPC'!$D$10:$W$10,0))</f>
        <v>-4.5923470017186876</v>
      </c>
      <c r="N42" s="332">
        <f ca="1">INDEX(OFFSET('Baseline NFPC'!$D$1:$W$1,$D42-1,0),MATCH(N$4,'Baseline NFPC'!$D$10:$W$10,0))</f>
        <v>-4.9462465330157945</v>
      </c>
      <c r="O42" s="332">
        <f ca="1">INDEX(OFFSET('Baseline NFPC'!$D$1:$W$1,$D42-1,0),MATCH(O$4,'Baseline NFPC'!$D$10:$W$10,0))</f>
        <v>-5.3439911049029849</v>
      </c>
      <c r="P42" s="332">
        <f ca="1">INDEX(OFFSET('Baseline NFPC'!$D$1:$W$1,$D42-1,0),MATCH(P$4,'Baseline NFPC'!$D$10:$W$10,0))</f>
        <v>-5.7614603548045373</v>
      </c>
      <c r="Q42" s="332">
        <f ca="1">INDEX(OFFSET('Baseline NFPC'!$D$1:$W$1,$D42-1,0),MATCH(Q$4,'Baseline NFPC'!$D$10:$W$10,0))</f>
        <v>-6.1685134174009892</v>
      </c>
      <c r="R42" s="332">
        <f ca="1">INDEX(OFFSET('Baseline NFPC'!$D$1:$W$1,$D42-1,0),MATCH(R$4,'Baseline NFPC'!$D$10:$W$10,0))</f>
        <v>-6.5596523936429829</v>
      </c>
      <c r="S42" s="332">
        <f ca="1">INDEX(OFFSET('Baseline NFPC'!$D$1:$W$1,$D42-1,0),MATCH(S$4,'Baseline NFPC'!$D$10:$W$10,0))</f>
        <v>-6.9332207711405838</v>
      </c>
      <c r="T42" s="332">
        <f ca="1">INDEX(OFFSET('Baseline NFPC'!$D$1:$W$1,$D42-1,0),MATCH(T$4,'Baseline NFPC'!$D$10:$W$10,0))</f>
        <v>-7.2875283188326563</v>
      </c>
      <c r="U42" s="332">
        <f ca="1">INDEX(OFFSET('Baseline NFPC'!$D$1:$W$1,$D42-1,0),MATCH(U$4,'Baseline NFPC'!$D$10:$W$10,0))</f>
        <v>-7.6359292134925756</v>
      </c>
      <c r="V42" s="332">
        <f ca="1">INDEX(OFFSET('Baseline NFPC'!$D$1:$W$1,$D42-1,0),MATCH(V$4,'Baseline NFPC'!$D$10:$W$10,0))</f>
        <v>-7.9789151930109643</v>
      </c>
      <c r="W42" s="332">
        <f ca="1">INDEX(OFFSET('Baseline NFPC'!$D$1:$W$1,$D42-1,0),MATCH(W$4,'Baseline NFPC'!$D$10:$W$10,0))</f>
        <v>-8.2982674487192831</v>
      </c>
      <c r="X42" s="332">
        <f ca="1">INDEX(OFFSET('Baseline NFPC'!$D$1:$W$1,$D42-1,0),MATCH(X$4,'Baseline NFPC'!$D$10:$W$10,0))</f>
        <v>-8.6562864051224491</v>
      </c>
      <c r="Y42" s="271"/>
    </row>
    <row r="43" spans="1:25" x14ac:dyDescent="0.2">
      <c r="A43" s="271"/>
      <c r="B43" s="339">
        <v>3</v>
      </c>
      <c r="C43" s="343" t="s">
        <v>40</v>
      </c>
      <c r="D43" s="344">
        <v>12</v>
      </c>
      <c r="E43" s="345" t="s">
        <v>223</v>
      </c>
      <c r="F43" s="332">
        <f ca="1">INDEX(OFFSET('Baseline NFPC'!$D$1:$W$1,$D43-1,0),MATCH(F$4,'Baseline NFPC'!$D$10:$W$10,0))</f>
        <v>-1.6308560000000001</v>
      </c>
      <c r="G43" s="332">
        <f ca="1">INDEX(OFFSET('Baseline NFPC'!$D$1:$W$1,$D43-1,0),MATCH(G$4,'Baseline NFPC'!$D$10:$W$10,0))</f>
        <v>-0.84895830000000005</v>
      </c>
      <c r="H43" s="332">
        <f ca="1">INDEX(OFFSET('Baseline NFPC'!$D$1:$W$1,$D43-1,0),MATCH(H$4,'Baseline NFPC'!$D$10:$W$10,0))</f>
        <v>-0.84895830000000005</v>
      </c>
      <c r="I43" s="332">
        <f ca="1">INDEX(OFFSET('Baseline NFPC'!$D$1:$W$1,$D43-1,0),MATCH(I$4,'Baseline NFPC'!$D$10:$W$10,0))</f>
        <v>-0.84895830000000005</v>
      </c>
      <c r="J43" s="332">
        <f ca="1">INDEX(OFFSET('Baseline NFPC'!$D$1:$W$1,$D43-1,0),MATCH(J$4,'Baseline NFPC'!$D$10:$W$10,0))</f>
        <v>-0.84895830000000005</v>
      </c>
      <c r="K43" s="332">
        <f ca="1">INDEX(OFFSET('Baseline NFPC'!$D$1:$W$1,$D43-1,0),MATCH(K$4,'Baseline NFPC'!$D$10:$W$10,0))</f>
        <v>-0.84895830000000005</v>
      </c>
      <c r="L43" s="332">
        <f ca="1">INDEX(OFFSET('Baseline NFPC'!$D$1:$W$1,$D43-1,0),MATCH(L$4,'Baseline NFPC'!$D$10:$W$10,0))</f>
        <v>-0.84895830000000005</v>
      </c>
      <c r="M43" s="332">
        <f ca="1">INDEX(OFFSET('Baseline NFPC'!$D$1:$W$1,$D43-1,0),MATCH(M$4,'Baseline NFPC'!$D$10:$W$10,0))</f>
        <v>-0.84895830000000005</v>
      </c>
      <c r="N43" s="332">
        <f ca="1">INDEX(OFFSET('Baseline NFPC'!$D$1:$W$1,$D43-1,0),MATCH(N$4,'Baseline NFPC'!$D$10:$W$10,0))</f>
        <v>-0.84895830000000005</v>
      </c>
      <c r="O43" s="332">
        <f ca="1">INDEX(OFFSET('Baseline NFPC'!$D$1:$W$1,$D43-1,0),MATCH(O$4,'Baseline NFPC'!$D$10:$W$10,0))</f>
        <v>-0.84895830000000005</v>
      </c>
      <c r="P43" s="332">
        <f ca="1">INDEX(OFFSET('Baseline NFPC'!$D$1:$W$1,$D43-1,0),MATCH(P$4,'Baseline NFPC'!$D$10:$W$10,0))</f>
        <v>-0.84895830000000005</v>
      </c>
      <c r="Q43" s="332">
        <f ca="1">INDEX(OFFSET('Baseline NFPC'!$D$1:$W$1,$D43-1,0),MATCH(Q$4,'Baseline NFPC'!$D$10:$W$10,0))</f>
        <v>-0.84895830000000005</v>
      </c>
      <c r="R43" s="332">
        <f ca="1">INDEX(OFFSET('Baseline NFPC'!$D$1:$W$1,$D43-1,0),MATCH(R$4,'Baseline NFPC'!$D$10:$W$10,0))</f>
        <v>-0.84895830000000005</v>
      </c>
      <c r="S43" s="332">
        <f ca="1">INDEX(OFFSET('Baseline NFPC'!$D$1:$W$1,$D43-1,0),MATCH(S$4,'Baseline NFPC'!$D$10:$W$10,0))</f>
        <v>-0.84895830000000005</v>
      </c>
      <c r="T43" s="332">
        <f ca="1">INDEX(OFFSET('Baseline NFPC'!$D$1:$W$1,$D43-1,0),MATCH(T$4,'Baseline NFPC'!$D$10:$W$10,0))</f>
        <v>-0.84895830000000005</v>
      </c>
      <c r="U43" s="332">
        <f ca="1">INDEX(OFFSET('Baseline NFPC'!$D$1:$W$1,$D43-1,0),MATCH(U$4,'Baseline NFPC'!$D$10:$W$10,0))</f>
        <v>-0.84895830000000005</v>
      </c>
      <c r="V43" s="332">
        <f ca="1">INDEX(OFFSET('Baseline NFPC'!$D$1:$W$1,$D43-1,0),MATCH(V$4,'Baseline NFPC'!$D$10:$W$10,0))</f>
        <v>-0.84895830000000005</v>
      </c>
      <c r="W43" s="332">
        <f ca="1">INDEX(OFFSET('Baseline NFPC'!$D$1:$W$1,$D43-1,0),MATCH(W$4,'Baseline NFPC'!$D$10:$W$10,0))</f>
        <v>-0.84895830000000005</v>
      </c>
      <c r="X43" s="332">
        <f ca="1">INDEX(OFFSET('Baseline NFPC'!$D$1:$W$1,$D43-1,0),MATCH(X$4,'Baseline NFPC'!$D$10:$W$10,0))</f>
        <v>-0.84895830000000005</v>
      </c>
      <c r="Y43" s="271"/>
    </row>
    <row r="44" spans="1:25" x14ac:dyDescent="0.2">
      <c r="A44" s="271"/>
      <c r="B44" s="339">
        <v>4</v>
      </c>
      <c r="C44" s="343" t="s">
        <v>224</v>
      </c>
      <c r="D44" s="344">
        <v>61</v>
      </c>
      <c r="E44" s="345" t="s">
        <v>223</v>
      </c>
      <c r="F44" s="332">
        <f ca="1">INDEX(OFFSET('Baseline NFPC'!$D$1:$W$1,$D44-1,0),MATCH(F$4,'Baseline NFPC'!$D$10:$W$10,0))</f>
        <v>-0.45498952769530077</v>
      </c>
      <c r="G44" s="332">
        <f ca="1">INDEX(OFFSET('Baseline NFPC'!$D$1:$W$1,$D44-1,0),MATCH(G$4,'Baseline NFPC'!$D$10:$W$10,0))</f>
        <v>-0.58847623913428604</v>
      </c>
      <c r="H44" s="332">
        <f ca="1">INDEX(OFFSET('Baseline NFPC'!$D$1:$W$1,$D44-1,0),MATCH(H$4,'Baseline NFPC'!$D$10:$W$10,0))</f>
        <v>-0.59189541739104168</v>
      </c>
      <c r="I44" s="332">
        <f ca="1">INDEX(OFFSET('Baseline NFPC'!$D$1:$W$1,$D44-1,0),MATCH(I$4,'Baseline NFPC'!$D$10:$W$10,0))</f>
        <v>-0.39459549864642757</v>
      </c>
      <c r="J44" s="332">
        <f ca="1">INDEX(OFFSET('Baseline NFPC'!$D$1:$W$1,$D44-1,0),MATCH(J$4,'Baseline NFPC'!$D$10:$W$10,0))</f>
        <v>-0.13152574675015519</v>
      </c>
      <c r="K44" s="332">
        <f ca="1">INDEX(OFFSET('Baseline NFPC'!$D$1:$W$1,$D44-1,0),MATCH(K$4,'Baseline NFPC'!$D$10:$W$10,0))</f>
        <v>1.427018842635741E-5</v>
      </c>
      <c r="L44" s="332">
        <f ca="1">INDEX(OFFSET('Baseline NFPC'!$D$1:$W$1,$D44-1,0),MATCH(L$4,'Baseline NFPC'!$D$10:$W$10,0))</f>
        <v>1.1913804376273428E-5</v>
      </c>
      <c r="M44" s="332">
        <f ca="1">INDEX(OFFSET('Baseline NFPC'!$D$1:$W$1,$D44-1,0),MATCH(M$4,'Baseline NFPC'!$D$10:$W$10,0))</f>
        <v>1.1324288507785774E-5</v>
      </c>
      <c r="N44" s="332">
        <f ca="1">INDEX(OFFSET('Baseline NFPC'!$D$1:$W$1,$D44-1,0),MATCH(N$4,'Baseline NFPC'!$D$10:$W$10,0))</f>
        <v>1.1914296003878721E-5</v>
      </c>
      <c r="O44" s="332">
        <f ca="1">INDEX(OFFSET('Baseline NFPC'!$D$1:$W$1,$D44-1,0),MATCH(O$4,'Baseline NFPC'!$D$10:$W$10,0))</f>
        <v>1.2504829367987469E-5</v>
      </c>
      <c r="P44" s="332">
        <f ca="1">INDEX(OFFSET('Baseline NFPC'!$D$1:$W$1,$D44-1,0),MATCH(P$4,'Baseline NFPC'!$D$10:$W$10,0))</f>
        <v>1.1323078732972114E-5</v>
      </c>
      <c r="Q44" s="332">
        <f ca="1">INDEX(OFFSET('Baseline NFPC'!$D$1:$W$1,$D44-1,0),MATCH(Q$4,'Baseline NFPC'!$D$10:$W$10,0))</f>
        <v>1.1913681698039192E-5</v>
      </c>
      <c r="R44" s="332">
        <f ca="1">INDEX(OFFSET('Baseline NFPC'!$D$1:$W$1,$D44-1,0),MATCH(R$4,'Baseline NFPC'!$D$10:$W$10,0))</f>
        <v>1.1913681691411159E-5</v>
      </c>
      <c r="S44" s="332">
        <f ca="1">INDEX(OFFSET('Baseline NFPC'!$D$1:$W$1,$D44-1,0),MATCH(S$4,'Baseline NFPC'!$D$10:$W$10,0))</f>
        <v>1.1323622675629696E-5</v>
      </c>
      <c r="T44" s="332">
        <f ca="1">INDEX(OFFSET('Baseline NFPC'!$D$1:$W$1,$D44-1,0),MATCH(T$4,'Baseline NFPC'!$D$10:$W$10,0))</f>
        <v>1.0734559196801107E-5</v>
      </c>
      <c r="U44" s="332">
        <f ca="1">INDEX(OFFSET('Baseline NFPC'!$D$1:$W$1,$D44-1,0),MATCH(U$4,'Baseline NFPC'!$D$10:$W$10,0))</f>
        <v>1.1911715810652978E-5</v>
      </c>
      <c r="V44" s="332">
        <f ca="1">INDEX(OFFSET('Baseline NFPC'!$D$1:$W$1,$D44-1,0),MATCH(V$4,'Baseline NFPC'!$D$10:$W$10,0))</f>
        <v>1.0147664781035014E-5</v>
      </c>
      <c r="W44" s="332">
        <f ca="1">INDEX(OFFSET('Baseline NFPC'!$D$1:$W$1,$D44-1,0),MATCH(W$4,'Baseline NFPC'!$D$10:$W$10,0))</f>
        <v>9.5603077618133806E-6</v>
      </c>
      <c r="X44" s="332">
        <f ca="1">INDEX(OFFSET('Baseline NFPC'!$D$1:$W$1,$D44-1,0),MATCH(X$4,'Baseline NFPC'!$D$10:$W$10,0))</f>
        <v>1.1911549798349075E-5</v>
      </c>
      <c r="Y44" s="271"/>
    </row>
    <row r="45" spans="1:25" x14ac:dyDescent="0.2">
      <c r="A45" s="271"/>
      <c r="B45" s="339">
        <v>5</v>
      </c>
      <c r="C45" s="343" t="s">
        <v>226</v>
      </c>
      <c r="D45" s="344">
        <v>67</v>
      </c>
      <c r="E45" s="345" t="s">
        <v>221</v>
      </c>
      <c r="F45" s="332">
        <f ca="1">INDEX(OFFSET('Baseline NFPC'!$D$1:$W$1,$D45-1,0),MATCH(F$4,'Baseline NFPC'!$D$10:$W$10,0))</f>
        <v>2.4603547187935546</v>
      </c>
      <c r="G45" s="332">
        <f ca="1">INDEX(OFFSET('Baseline NFPC'!$D$1:$W$1,$D45-1,0),MATCH(G$4,'Baseline NFPC'!$D$10:$W$10,0))</f>
        <v>2.5334362592575936</v>
      </c>
      <c r="H45" s="332">
        <f ca="1">INDEX(OFFSET('Baseline NFPC'!$D$1:$W$1,$D45-1,0),MATCH(H$4,'Baseline NFPC'!$D$10:$W$10,0))</f>
        <v>2.5548641067415803</v>
      </c>
      <c r="I45" s="332">
        <f ca="1">INDEX(OFFSET('Baseline NFPC'!$D$1:$W$1,$D45-1,0),MATCH(I$4,'Baseline NFPC'!$D$10:$W$10,0))</f>
        <v>2.6736242732770354</v>
      </c>
      <c r="J45" s="332">
        <f ca="1">INDEX(OFFSET('Baseline NFPC'!$D$1:$W$1,$D45-1,0),MATCH(J$4,'Baseline NFPC'!$D$10:$W$10,0))</f>
        <v>2.7765189969265651</v>
      </c>
      <c r="K45" s="332">
        <f ca="1">INDEX(OFFSET('Baseline NFPC'!$D$1:$W$1,$D45-1,0),MATCH(K$4,'Baseline NFPC'!$D$10:$W$10,0))</f>
        <v>2.8900160614544217</v>
      </c>
      <c r="L45" s="332">
        <f ca="1">INDEX(OFFSET('Baseline NFPC'!$D$1:$W$1,$D45-1,0),MATCH(L$4,'Baseline NFPC'!$D$10:$W$10,0))</f>
        <v>3.0097175018048485</v>
      </c>
      <c r="M45" s="332">
        <f ca="1">INDEX(OFFSET('Baseline NFPC'!$D$1:$W$1,$D45-1,0),MATCH(M$4,'Baseline NFPC'!$D$10:$W$10,0))</f>
        <v>3.1397316774301802</v>
      </c>
      <c r="N45" s="332">
        <f ca="1">INDEX(OFFSET('Baseline NFPC'!$D$1:$W$1,$D45-1,0),MATCH(N$4,'Baseline NFPC'!$D$10:$W$10,0))</f>
        <v>3.2827280187197916</v>
      </c>
      <c r="O45" s="332">
        <f ca="1">INDEX(OFFSET('Baseline NFPC'!$D$1:$W$1,$D45-1,0),MATCH(O$4,'Baseline NFPC'!$D$10:$W$10,0))</f>
        <v>3.441639300073617</v>
      </c>
      <c r="P45" s="332">
        <f ca="1">INDEX(OFFSET('Baseline NFPC'!$D$1:$W$1,$D45-1,0),MATCH(P$4,'Baseline NFPC'!$D$10:$W$10,0))</f>
        <v>3.6176571317258031</v>
      </c>
      <c r="Q45" s="332">
        <f ca="1">INDEX(OFFSET('Baseline NFPC'!$D$1:$W$1,$D45-1,0),MATCH(Q$4,'Baseline NFPC'!$D$10:$W$10,0))</f>
        <v>3.790627003719294</v>
      </c>
      <c r="R45" s="332">
        <f ca="1">INDEX(OFFSET('Baseline NFPC'!$D$1:$W$1,$D45-1,0),MATCH(R$4,'Baseline NFPC'!$D$10:$W$10,0))</f>
        <v>3.9626733799612963</v>
      </c>
      <c r="S45" s="332">
        <f ca="1">INDEX(OFFSET('Baseline NFPC'!$D$1:$W$1,$D45-1,0),MATCH(S$4,'Baseline NFPC'!$D$10:$W$10,0))</f>
        <v>4.1340796475179094</v>
      </c>
      <c r="T45" s="332">
        <f ca="1">INDEX(OFFSET('Baseline NFPC'!$D$1:$W$1,$D45-1,0),MATCH(T$4,'Baseline NFPC'!$D$10:$W$10,0))</f>
        <v>4.2996451842734613</v>
      </c>
      <c r="U45" s="332">
        <f ca="1">INDEX(OFFSET('Baseline NFPC'!$D$1:$W$1,$D45-1,0),MATCH(U$4,'Baseline NFPC'!$D$10:$W$10,0))</f>
        <v>4.4628823017767658</v>
      </c>
      <c r="V45" s="332">
        <f ca="1">INDEX(OFFSET('Baseline NFPC'!$D$1:$W$1,$D45-1,0),MATCH(V$4,'Baseline NFPC'!$D$10:$W$10,0))</f>
        <v>4.6234874453461847</v>
      </c>
      <c r="W45" s="332">
        <f ca="1">INDEX(OFFSET('Baseline NFPC'!$D$1:$W$1,$D45-1,0),MATCH(W$4,'Baseline NFPC'!$D$10:$W$10,0))</f>
        <v>4.7808575884115214</v>
      </c>
      <c r="X45" s="332">
        <f ca="1">INDEX(OFFSET('Baseline NFPC'!$D$1:$W$1,$D45-1,0),MATCH(X$4,'Baseline NFPC'!$D$10:$W$10,0))</f>
        <v>4.9437415935726561</v>
      </c>
      <c r="Y45" s="271"/>
    </row>
    <row r="46" spans="1:25" x14ac:dyDescent="0.2">
      <c r="A46" s="271"/>
      <c r="B46" s="339">
        <v>6</v>
      </c>
      <c r="C46" s="346" t="s">
        <v>94</v>
      </c>
      <c r="D46" s="344">
        <v>36</v>
      </c>
      <c r="E46" s="345" t="s">
        <v>227</v>
      </c>
      <c r="F46" s="332">
        <f ca="1">INDEX(OFFSET('Baseline NFPC'!$D$1:$W$1,$D46-1,0),MATCH(F$4,'Baseline NFPC'!$D$10:$W$10,0))</f>
        <v>3.48</v>
      </c>
      <c r="G46" s="332">
        <f ca="1">INDEX(OFFSET('Baseline NFPC'!$D$1:$W$1,$D46-1,0),MATCH(G$4,'Baseline NFPC'!$D$10:$W$10,0))</f>
        <v>3.2930959999999998</v>
      </c>
      <c r="H46" s="332">
        <f ca="1">INDEX(OFFSET('Baseline NFPC'!$D$1:$W$1,$D46-1,0),MATCH(H$4,'Baseline NFPC'!$D$10:$W$10,0))</f>
        <v>3.4118309999999998</v>
      </c>
      <c r="I46" s="332">
        <f ca="1">INDEX(OFFSET('Baseline NFPC'!$D$1:$W$1,$D46-1,0),MATCH(I$4,'Baseline NFPC'!$D$10:$W$10,0))</f>
        <v>3.5264958749999997</v>
      </c>
      <c r="J46" s="332">
        <f ca="1">INDEX(OFFSET('Baseline NFPC'!$D$1:$W$1,$D46-1,0),MATCH(J$4,'Baseline NFPC'!$D$10:$W$10,0))</f>
        <v>3.6411607499999996</v>
      </c>
      <c r="K46" s="332">
        <f ca="1">INDEX(OFFSET('Baseline NFPC'!$D$1:$W$1,$D46-1,0),MATCH(K$4,'Baseline NFPC'!$D$10:$W$10,0))</f>
        <v>3.7558256249999995</v>
      </c>
      <c r="L46" s="332">
        <f ca="1">INDEX(OFFSET('Baseline NFPC'!$D$1:$W$1,$D46-1,0),MATCH(L$4,'Baseline NFPC'!$D$10:$W$10,0))</f>
        <v>3.8704904999999994</v>
      </c>
      <c r="M46" s="332">
        <f ca="1">INDEX(OFFSET('Baseline NFPC'!$D$1:$W$1,$D46-1,0),MATCH(M$4,'Baseline NFPC'!$D$10:$W$10,0))</f>
        <v>3.9851553749999993</v>
      </c>
      <c r="N46" s="332">
        <f ca="1">INDEX(OFFSET('Baseline NFPC'!$D$1:$W$1,$D46-1,0),MATCH(N$4,'Baseline NFPC'!$D$10:$W$10,0))</f>
        <v>4.0998202499999996</v>
      </c>
      <c r="O46" s="332">
        <f ca="1">INDEX(OFFSET('Baseline NFPC'!$D$1:$W$1,$D46-1,0),MATCH(O$4,'Baseline NFPC'!$D$10:$W$10,0))</f>
        <v>4.2144851249999995</v>
      </c>
      <c r="P46" s="332">
        <f ca="1">INDEX(OFFSET('Baseline NFPC'!$D$1:$W$1,$D46-1,0),MATCH(P$4,'Baseline NFPC'!$D$10:$W$10,0))</f>
        <v>4.3291500000000003</v>
      </c>
      <c r="Q46" s="332">
        <f ca="1">INDEX(OFFSET('Baseline NFPC'!$D$1:$W$1,$D46-1,0),MATCH(Q$4,'Baseline NFPC'!$D$10:$W$10,0))</f>
        <v>4.3126925000000007</v>
      </c>
      <c r="R46" s="332">
        <f ca="1">INDEX(OFFSET('Baseline NFPC'!$D$1:$W$1,$D46-1,0),MATCH(R$4,'Baseline NFPC'!$D$10:$W$10,0))</f>
        <v>4.2962350000000002</v>
      </c>
      <c r="S46" s="332">
        <f ca="1">INDEX(OFFSET('Baseline NFPC'!$D$1:$W$1,$D46-1,0),MATCH(S$4,'Baseline NFPC'!$D$10:$W$10,0))</f>
        <v>4.2797774999999998</v>
      </c>
      <c r="T46" s="332">
        <f ca="1">INDEX(OFFSET('Baseline NFPC'!$D$1:$W$1,$D46-1,0),MATCH(T$4,'Baseline NFPC'!$D$10:$W$10,0))</f>
        <v>4.2633200000000002</v>
      </c>
      <c r="U46" s="332">
        <f ca="1">INDEX(OFFSET('Baseline NFPC'!$D$1:$W$1,$D46-1,0),MATCH(U$4,'Baseline NFPC'!$D$10:$W$10,0))</f>
        <v>4.2468625000000007</v>
      </c>
      <c r="V46" s="332">
        <f ca="1">INDEX(OFFSET('Baseline NFPC'!$D$1:$W$1,$D46-1,0),MATCH(V$4,'Baseline NFPC'!$D$10:$W$10,0))</f>
        <v>4.2304050000000002</v>
      </c>
      <c r="W46" s="332">
        <f ca="1">INDEX(OFFSET('Baseline NFPC'!$D$1:$W$1,$D46-1,0),MATCH(W$4,'Baseline NFPC'!$D$10:$W$10,0))</f>
        <v>4.2139474999999997</v>
      </c>
      <c r="X46" s="332">
        <f ca="1">INDEX(OFFSET('Baseline NFPC'!$D$1:$W$1,$D46-1,0),MATCH(X$4,'Baseline NFPC'!$D$10:$W$10,0))</f>
        <v>4.1974900000000002</v>
      </c>
      <c r="Y46" s="271"/>
    </row>
    <row r="47" spans="1:25" x14ac:dyDescent="0.2">
      <c r="A47" s="271"/>
      <c r="B47" s="339">
        <v>7</v>
      </c>
      <c r="C47" s="346" t="s">
        <v>95</v>
      </c>
      <c r="D47" s="344">
        <v>37</v>
      </c>
      <c r="E47" s="345" t="s">
        <v>227</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228</v>
      </c>
      <c r="D48" s="344">
        <v>35</v>
      </c>
      <c r="E48" s="345" t="s">
        <v>227</v>
      </c>
      <c r="F48" s="332">
        <f ca="1">INDEX(OFFSET('Baseline NFPC'!$D$1:$W$1,$D48-1,0),MATCH(F$4,'Baseline NFPC'!$D$10:$W$10,0))</f>
        <v>2.3933339999999999</v>
      </c>
      <c r="G48" s="332">
        <f ca="1">INDEX(OFFSET('Baseline NFPC'!$D$1:$W$1,$D48-1,0),MATCH(G$4,'Baseline NFPC'!$D$10:$W$10,0))</f>
        <v>2.4819740000000001</v>
      </c>
      <c r="H48" s="332">
        <f ca="1">INDEX(OFFSET('Baseline NFPC'!$D$1:$W$1,$D48-1,0),MATCH(H$4,'Baseline NFPC'!$D$10:$W$10,0))</f>
        <v>2.5283959999999999</v>
      </c>
      <c r="I48" s="332">
        <f ca="1">INDEX(OFFSET('Baseline NFPC'!$D$1:$W$1,$D48-1,0),MATCH(I$4,'Baseline NFPC'!$D$10:$W$10,0))</f>
        <v>2.6437002858495018</v>
      </c>
      <c r="J48" s="332">
        <f ca="1">INDEX(OFFSET('Baseline NFPC'!$D$1:$W$1,$D48-1,0),MATCH(J$4,'Baseline NFPC'!$D$10:$W$10,0))</f>
        <v>2.7505036847138813</v>
      </c>
      <c r="K48" s="332">
        <f ca="1">INDEX(OFFSET('Baseline NFPC'!$D$1:$W$1,$D48-1,0),MATCH(K$4,'Baseline NFPC'!$D$10:$W$10,0))</f>
        <v>2.8613069498267953</v>
      </c>
      <c r="L48" s="332">
        <f ca="1">INDEX(OFFSET('Baseline NFPC'!$D$1:$W$1,$D48-1,0),MATCH(L$4,'Baseline NFPC'!$D$10:$W$10,0))</f>
        <v>2.9744226656426664</v>
      </c>
      <c r="M48" s="332">
        <f ca="1">INDEX(OFFSET('Baseline NFPC'!$D$1:$W$1,$D48-1,0),MATCH(M$4,'Baseline NFPC'!$D$10:$W$10,0))</f>
        <v>3.0888429038449274</v>
      </c>
      <c r="N48" s="332">
        <f ca="1">INDEX(OFFSET('Baseline NFPC'!$D$1:$W$1,$D48-1,0),MATCH(N$4,'Baseline NFPC'!$D$10:$W$10,0))</f>
        <v>3.2046447213439149</v>
      </c>
      <c r="O48" s="332">
        <f ca="1">INDEX(OFFSET('Baseline NFPC'!$D$1:$W$1,$D48-1,0),MATCH(O$4,'Baseline NFPC'!$D$10:$W$10,0))</f>
        <v>3.3218964432852012</v>
      </c>
      <c r="P48" s="332">
        <f ca="1">INDEX(OFFSET('Baseline NFPC'!$D$1:$W$1,$D48-1,0),MATCH(P$4,'Baseline NFPC'!$D$10:$W$10,0))</f>
        <v>3.4404847525592412</v>
      </c>
      <c r="Q48" s="332">
        <f ca="1">INDEX(OFFSET('Baseline NFPC'!$D$1:$W$1,$D48-1,0),MATCH(Q$4,'Baseline NFPC'!$D$10:$W$10,0))</f>
        <v>3.5418801831020281</v>
      </c>
      <c r="R48" s="332">
        <f ca="1">INDEX(OFFSET('Baseline NFPC'!$D$1:$W$1,$D48-1,0),MATCH(R$4,'Baseline NFPC'!$D$10:$W$10,0))</f>
        <v>3.6287394108666184</v>
      </c>
      <c r="S48" s="332">
        <f ca="1">INDEX(OFFSET('Baseline NFPC'!$D$1:$W$1,$D48-1,0),MATCH(S$4,'Baseline NFPC'!$D$10:$W$10,0))</f>
        <v>3.702348266440425</v>
      </c>
      <c r="T48" s="332">
        <f ca="1">INDEX(OFFSET('Baseline NFPC'!$D$1:$W$1,$D48-1,0),MATCH(T$4,'Baseline NFPC'!$D$10:$W$10,0))</f>
        <v>3.7640100443034847</v>
      </c>
      <c r="U48" s="332">
        <f ca="1">INDEX(OFFSET('Baseline NFPC'!$D$1:$W$1,$D48-1,0),MATCH(U$4,'Baseline NFPC'!$D$10:$W$10,0))</f>
        <v>3.8150295195177479</v>
      </c>
      <c r="V48" s="332">
        <f ca="1">INDEX(OFFSET('Baseline NFPC'!$D$1:$W$1,$D48-1,0),MATCH(V$4,'Baseline NFPC'!$D$10:$W$10,0))</f>
        <v>3.8566592933014072</v>
      </c>
      <c r="W48" s="332">
        <f ca="1">INDEX(OFFSET('Baseline NFPC'!$D$1:$W$1,$D48-1,0),MATCH(W$4,'Baseline NFPC'!$D$10:$W$10,0))</f>
        <v>3.890053793524674</v>
      </c>
      <c r="X48" s="332">
        <f ca="1">INDEX(OFFSET('Baseline NFPC'!$D$1:$W$1,$D48-1,0),MATCH(X$4,'Baseline NFPC'!$D$10:$W$10,0))</f>
        <v>3.9162383001455829</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1.8783989999999973</v>
      </c>
      <c r="G49" s="332">
        <f ca="1">(INDEX(OFFSET('Baseline NFPC'!$D$1:$W$1,$D49-1,0),MATCH(G$4,'Baseline NFPC'!$D$10:$W$10,0))/INDEX(OFFSET('Baseline NFPC'!$D$1:$W$1,$D49-1,0),MATCH(F$4,'Baseline NFPC'!$D$10:$W$10,0))-1)*100</f>
        <v>1.9185549999999996</v>
      </c>
      <c r="H49" s="332">
        <f ca="1">(INDEX(OFFSET('Baseline NFPC'!$D$1:$W$1,$D49-1,0),MATCH(H$4,'Baseline NFPC'!$D$10:$W$10,0))/INDEX(OFFSET('Baseline NFPC'!$D$1:$W$1,$D49-1,0),MATCH(G$4,'Baseline NFPC'!$D$10:$W$10,0))-1)*100</f>
        <v>2.0213330000000029</v>
      </c>
      <c r="I49" s="332">
        <f ca="1">(INDEX(OFFSET('Baseline NFPC'!$D$1:$W$1,$D49-1,0),MATCH(I$4,'Baseline NFPC'!$D$10:$W$10,0))/INDEX(OFFSET('Baseline NFPC'!$D$1:$W$1,$D49-1,0),MATCH(H$4,'Baseline NFPC'!$D$10:$W$10,0))-1)*100</f>
        <v>1.6085399999999916</v>
      </c>
      <c r="J49" s="332">
        <f ca="1">(INDEX(OFFSET('Baseline NFPC'!$D$1:$W$1,$D49-1,0),MATCH(J$4,'Baseline NFPC'!$D$10:$W$10,0))/INDEX(OFFSET('Baseline NFPC'!$D$1:$W$1,$D49-1,0),MATCH(I$4,'Baseline NFPC'!$D$10:$W$10,0))-1)*100</f>
        <v>1.4316039999999974</v>
      </c>
      <c r="K49" s="332">
        <f ca="1">(INDEX(OFFSET('Baseline NFPC'!$D$1:$W$1,$D49-1,0),MATCH(K$4,'Baseline NFPC'!$D$10:$W$10,0))/INDEX(OFFSET('Baseline NFPC'!$D$1:$W$1,$D49-1,0),MATCH(J$4,'Baseline NFPC'!$D$10:$W$10,0))-1)*100</f>
        <v>1.4006409999999914</v>
      </c>
      <c r="L49" s="332">
        <f ca="1">(INDEX(OFFSET('Baseline NFPC'!$D$1:$W$1,$D49-1,0),MATCH(L$4,'Baseline NFPC'!$D$10:$W$10,0))/INDEX(OFFSET('Baseline NFPC'!$D$1:$W$1,$D49-1,0),MATCH(K$4,'Baseline NFPC'!$D$10:$W$10,0))-1)*100</f>
        <v>1.3416909999999893</v>
      </c>
      <c r="M49" s="332">
        <f ca="1">(INDEX(OFFSET('Baseline NFPC'!$D$1:$W$1,$D49-1,0),MATCH(M$4,'Baseline NFPC'!$D$10:$W$10,0))/INDEX(OFFSET('Baseline NFPC'!$D$1:$W$1,$D49-1,0),MATCH(L$4,'Baseline NFPC'!$D$10:$W$10,0))-1)*100</f>
        <v>1.2695190000000078</v>
      </c>
      <c r="N49" s="332">
        <f ca="1">(INDEX(OFFSET('Baseline NFPC'!$D$1:$W$1,$D49-1,0),MATCH(N$4,'Baseline NFPC'!$D$10:$W$10,0))/INDEX(OFFSET('Baseline NFPC'!$D$1:$W$1,$D49-1,0),MATCH(M$4,'Baseline NFPC'!$D$10:$W$10,0))-1)*100</f>
        <v>1.1851370000000028</v>
      </c>
      <c r="O49" s="332">
        <f ca="1">(INDEX(OFFSET('Baseline NFPC'!$D$1:$W$1,$D49-1,0),MATCH(O$4,'Baseline NFPC'!$D$10:$W$10,0))/INDEX(OFFSET('Baseline NFPC'!$D$1:$W$1,$D49-1,0),MATCH(N$4,'Baseline NFPC'!$D$10:$W$10,0))-1)*100</f>
        <v>1.0950320000000069</v>
      </c>
      <c r="P49" s="332">
        <f ca="1">(INDEX(OFFSET('Baseline NFPC'!$D$1:$W$1,$D49-1,0),MATCH(P$4,'Baseline NFPC'!$D$10:$W$10,0))/INDEX(OFFSET('Baseline NFPC'!$D$1:$W$1,$D49-1,0),MATCH(O$4,'Baseline NFPC'!$D$10:$W$10,0))-1)*100</f>
        <v>1.0365229999999892</v>
      </c>
      <c r="Q49" s="332">
        <f ca="1">(INDEX(OFFSET('Baseline NFPC'!$D$1:$W$1,$D49-1,0),MATCH(Q$4,'Baseline NFPC'!$D$10:$W$10,0))/INDEX(OFFSET('Baseline NFPC'!$D$1:$W$1,$D49-1,0),MATCH(P$4,'Baseline NFPC'!$D$10:$W$10,0))-1)*100</f>
        <v>1.0831159999999951</v>
      </c>
      <c r="R49" s="332">
        <f ca="1">(INDEX(OFFSET('Baseline NFPC'!$D$1:$W$1,$D49-1,0),MATCH(R$4,'Baseline NFPC'!$D$10:$W$10,0))/INDEX(OFFSET('Baseline NFPC'!$D$1:$W$1,$D49-1,0),MATCH(Q$4,'Baseline NFPC'!$D$10:$W$10,0))-1)*100</f>
        <v>1.129708000000007</v>
      </c>
      <c r="S49" s="332">
        <f ca="1">(INDEX(OFFSET('Baseline NFPC'!$D$1:$W$1,$D49-1,0),MATCH(S$4,'Baseline NFPC'!$D$10:$W$10,0))/INDEX(OFFSET('Baseline NFPC'!$D$1:$W$1,$D49-1,0),MATCH(R$4,'Baseline NFPC'!$D$10:$W$10,0))-1)*100</f>
        <v>1.1763009999999907</v>
      </c>
      <c r="T49" s="332">
        <f ca="1">(INDEX(OFFSET('Baseline NFPC'!$D$1:$W$1,$D49-1,0),MATCH(T$4,'Baseline NFPC'!$D$10:$W$10,0))/INDEX(OFFSET('Baseline NFPC'!$D$1:$W$1,$D49-1,0),MATCH(S$4,'Baseline NFPC'!$D$10:$W$10,0))-1)*100</f>
        <v>1.3472949999999928</v>
      </c>
      <c r="U49" s="332">
        <f ca="1">(INDEX(OFFSET('Baseline NFPC'!$D$1:$W$1,$D49-1,0),MATCH(U$4,'Baseline NFPC'!$D$10:$W$10,0))/INDEX(OFFSET('Baseline NFPC'!$D$1:$W$1,$D49-1,0),MATCH(T$4,'Baseline NFPC'!$D$10:$W$10,0))-1)*100</f>
        <v>1.430836000000002</v>
      </c>
      <c r="V49" s="332">
        <f ca="1">(INDEX(OFFSET('Baseline NFPC'!$D$1:$W$1,$D49-1,0),MATCH(V$4,'Baseline NFPC'!$D$10:$W$10,0))/INDEX(OFFSET('Baseline NFPC'!$D$1:$W$1,$D49-1,0),MATCH(U$4,'Baseline NFPC'!$D$10:$W$10,0))-1)*100</f>
        <v>1.5276550000000055</v>
      </c>
      <c r="W49" s="332">
        <f ca="1">(INDEX(OFFSET('Baseline NFPC'!$D$1:$W$1,$D49-1,0),MATCH(W$4,'Baseline NFPC'!$D$10:$W$10,0))/INDEX(OFFSET('Baseline NFPC'!$D$1:$W$1,$D49-1,0),MATCH(V$4,'Baseline NFPC'!$D$10:$W$10,0))-1)*100</f>
        <v>1.6417389999999976</v>
      </c>
      <c r="X49" s="332">
        <f ca="1">(INDEX(OFFSET('Baseline NFPC'!$D$1:$W$1,$D49-1,0),MATCH(X$4,'Baseline NFPC'!$D$10:$W$10,0))/INDEX(OFFSET('Baseline NFPC'!$D$1:$W$1,$D49-1,0),MATCH(W$4,'Baseline NFPC'!$D$10:$W$10,0))-1)*100</f>
        <v>1.5633259999999982</v>
      </c>
      <c r="Y49" s="271"/>
    </row>
    <row r="50" spans="1:25" x14ac:dyDescent="0.2">
      <c r="A50" s="271"/>
      <c r="B50" s="339">
        <v>10</v>
      </c>
      <c r="C50" s="335" t="s">
        <v>231</v>
      </c>
      <c r="D50" s="344">
        <v>23</v>
      </c>
      <c r="E50" s="345" t="s">
        <v>230</v>
      </c>
      <c r="F50" s="332">
        <f ca="1">INDEX(OFFSET('Baseline NFPC'!$D$1:$W$1,$D50-1,0),MATCH(F$4,'Baseline NFPC'!$D$10:$W$10,0))</f>
        <v>2.5032939999999999</v>
      </c>
      <c r="G50" s="332">
        <f ca="1">INDEX(OFFSET('Baseline NFPC'!$D$1:$W$1,$D50-1,0),MATCH(G$4,'Baseline NFPC'!$D$10:$W$10,0))</f>
        <v>2.144717</v>
      </c>
      <c r="H50" s="332">
        <f ca="1">INDEX(OFFSET('Baseline NFPC'!$D$1:$W$1,$D50-1,0),MATCH(H$4,'Baseline NFPC'!$D$10:$W$10,0))</f>
        <v>2.0271189999999999</v>
      </c>
      <c r="I50" s="332">
        <f ca="1">INDEX(OFFSET('Baseline NFPC'!$D$1:$W$1,$D50-1,0),MATCH(I$4,'Baseline NFPC'!$D$10:$W$10,0))</f>
        <v>1.2760349999999976</v>
      </c>
      <c r="J50" s="332">
        <f ca="1">INDEX(OFFSET('Baseline NFPC'!$D$1:$W$1,$D50-1,0),MATCH(J$4,'Baseline NFPC'!$D$10:$W$10,0))</f>
        <v>0.98757759999998918</v>
      </c>
      <c r="K50" s="332">
        <f ca="1">INDEX(OFFSET('Baseline NFPC'!$D$1:$W$1,$D50-1,0),MATCH(K$4,'Baseline NFPC'!$D$10:$W$10,0))</f>
        <v>1.1777109999999924</v>
      </c>
      <c r="L50" s="332">
        <f ca="1">INDEX(OFFSET('Baseline NFPC'!$D$1:$W$1,$D50-1,0),MATCH(L$4,'Baseline NFPC'!$D$10:$W$10,0))</f>
        <v>1.3416950000000094</v>
      </c>
      <c r="M50" s="332">
        <f ca="1">INDEX(OFFSET('Baseline NFPC'!$D$1:$W$1,$D50-1,0),MATCH(M$4,'Baseline NFPC'!$D$10:$W$10,0))</f>
        <v>1.2695200000000018</v>
      </c>
      <c r="N50" s="332">
        <f ca="1">INDEX(OFFSET('Baseline NFPC'!$D$1:$W$1,$D50-1,0),MATCH(N$4,'Baseline NFPC'!$D$10:$W$10,0))</f>
        <v>1.1851360000000088</v>
      </c>
      <c r="O50" s="332">
        <f ca="1">INDEX(OFFSET('Baseline NFPC'!$D$1:$W$1,$D50-1,0),MATCH(O$4,'Baseline NFPC'!$D$10:$W$10,0))</f>
        <v>1.0950309999999908</v>
      </c>
      <c r="P50" s="332">
        <f ca="1">INDEX(OFFSET('Baseline NFPC'!$D$1:$W$1,$D50-1,0),MATCH(P$4,'Baseline NFPC'!$D$10:$W$10,0))</f>
        <v>1.0365249999999993</v>
      </c>
      <c r="Q50" s="332">
        <f ca="1">INDEX(OFFSET('Baseline NFPC'!$D$1:$W$1,$D50-1,0),MATCH(Q$4,'Baseline NFPC'!$D$10:$W$10,0))</f>
        <v>1.0831150000000012</v>
      </c>
      <c r="R50" s="332">
        <f ca="1">INDEX(OFFSET('Baseline NFPC'!$D$1:$W$1,$D50-1,0),MATCH(R$4,'Baseline NFPC'!$D$10:$W$10,0))</f>
        <v>1.129708000000007</v>
      </c>
      <c r="S50" s="332">
        <f ca="1">INDEX(OFFSET('Baseline NFPC'!$D$1:$W$1,$D50-1,0),MATCH(S$4,'Baseline NFPC'!$D$10:$W$10,0))</f>
        <v>1.1763020000000068</v>
      </c>
      <c r="T50" s="332">
        <f ca="1">INDEX(OFFSET('Baseline NFPC'!$D$1:$W$1,$D50-1,0),MATCH(T$4,'Baseline NFPC'!$D$10:$W$10,0))</f>
        <v>1.3472960000000089</v>
      </c>
      <c r="U50" s="332">
        <f ca="1">INDEX(OFFSET('Baseline NFPC'!$D$1:$W$1,$D50-1,0),MATCH(U$4,'Baseline NFPC'!$D$10:$W$10,0))</f>
        <v>1.4308339999999919</v>
      </c>
      <c r="V50" s="332">
        <f ca="1">INDEX(OFFSET('Baseline NFPC'!$D$1:$W$1,$D50-1,0),MATCH(V$4,'Baseline NFPC'!$D$10:$W$10,0))</f>
        <v>1.5276580000000095</v>
      </c>
      <c r="W50" s="332">
        <f ca="1">INDEX(OFFSET('Baseline NFPC'!$D$1:$W$1,$D50-1,0),MATCH(W$4,'Baseline NFPC'!$D$10:$W$10,0))</f>
        <v>1.6417399999999915</v>
      </c>
      <c r="X50" s="332">
        <f ca="1">INDEX(OFFSET('Baseline NFPC'!$D$1:$W$1,$D50-1,0),MATCH(X$4,'Baseline NFPC'!$D$10:$W$10,0))</f>
        <v>1.5633220000000003</v>
      </c>
      <c r="Y50" s="271"/>
    </row>
    <row r="51" spans="1:25" x14ac:dyDescent="0.2">
      <c r="A51" s="271"/>
      <c r="B51" s="339">
        <v>11</v>
      </c>
      <c r="C51" s="348" t="s">
        <v>232</v>
      </c>
      <c r="D51" s="344">
        <v>41</v>
      </c>
      <c r="E51" s="345" t="s">
        <v>230</v>
      </c>
      <c r="F51" s="332">
        <f ca="1">INDEX(OFFSET('Baseline NFPC'!$D$1:$W$1,$D51-1,0),MATCH(F$4,'Baseline NFPC'!$D$10:$W$10,0))</f>
        <v>5.9277860000000002</v>
      </c>
      <c r="G51" s="332">
        <f ca="1">INDEX(OFFSET('Baseline NFPC'!$D$1:$W$1,$D51-1,0),MATCH(G$4,'Baseline NFPC'!$D$10:$W$10,0))</f>
        <v>3.2528440000000001</v>
      </c>
      <c r="H51" s="332">
        <f ca="1">INDEX(OFFSET('Baseline NFPC'!$D$1:$W$1,$D51-1,0),MATCH(H$4,'Baseline NFPC'!$D$10:$W$10,0))</f>
        <v>2.3423060000000002</v>
      </c>
      <c r="I51" s="332">
        <f ca="1">INDEX(OFFSET('Baseline NFPC'!$D$1:$W$1,$D51-1,0),MATCH(I$4,'Baseline NFPC'!$D$10:$W$10,0))</f>
        <v>2.3682677500000002</v>
      </c>
      <c r="J51" s="332">
        <f ca="1">INDEX(OFFSET('Baseline NFPC'!$D$1:$W$1,$D51-1,0),MATCH(J$4,'Baseline NFPC'!$D$10:$W$10,0))</f>
        <v>2.3942295000000002</v>
      </c>
      <c r="K51" s="332">
        <f ca="1">INDEX(OFFSET('Baseline NFPC'!$D$1:$W$1,$D51-1,0),MATCH(K$4,'Baseline NFPC'!$D$10:$W$10,0))</f>
        <v>2.4201912500000002</v>
      </c>
      <c r="L51" s="332">
        <f ca="1">INDEX(OFFSET('Baseline NFPC'!$D$1:$W$1,$D51-1,0),MATCH(L$4,'Baseline NFPC'!$D$10:$W$10,0))</f>
        <v>2.4461529999999998</v>
      </c>
      <c r="M51" s="332">
        <f ca="1">INDEX(OFFSET('Baseline NFPC'!$D$1:$W$1,$D51-1,0),MATCH(M$4,'Baseline NFPC'!$D$10:$W$10,0))</f>
        <v>2.4721147499999998</v>
      </c>
      <c r="N51" s="332">
        <f ca="1">INDEX(OFFSET('Baseline NFPC'!$D$1:$W$1,$D51-1,0),MATCH(N$4,'Baseline NFPC'!$D$10:$W$10,0))</f>
        <v>2.4980764999999998</v>
      </c>
      <c r="O51" s="332">
        <f ca="1">INDEX(OFFSET('Baseline NFPC'!$D$1:$W$1,$D51-1,0),MATCH(O$4,'Baseline NFPC'!$D$10:$W$10,0))</f>
        <v>2.5240382499999998</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233</v>
      </c>
      <c r="D52" s="344">
        <v>32</v>
      </c>
      <c r="E52" s="345" t="s">
        <v>230</v>
      </c>
      <c r="F52" s="332">
        <f ca="1">INDEX(OFFSET('Baseline NFPC'!$D$1:$W$1,$D52-1,0),MATCH(F$4,'Baseline NFPC'!$D$10:$W$10,0))</f>
        <v>8.5794699112708308</v>
      </c>
      <c r="G52" s="332">
        <f ca="1">INDEX(OFFSET('Baseline NFPC'!$D$1:$W$1,$D52-1,0),MATCH(G$4,'Baseline NFPC'!$D$10:$W$10,0))</f>
        <v>5.4673252982514908</v>
      </c>
      <c r="H52" s="332">
        <f ca="1">INDEX(OFFSET('Baseline NFPC'!$D$1:$W$1,$D52-1,0),MATCH(H$4,'Baseline NFPC'!$D$10:$W$10,0))</f>
        <v>4.4169063299641653</v>
      </c>
      <c r="I52" s="332">
        <f ca="1">INDEX(OFFSET('Baseline NFPC'!$D$1:$W$1,$D52-1,0),MATCH(I$4,'Baseline NFPC'!$D$10:$W$10,0))</f>
        <v>3.674522675383729</v>
      </c>
      <c r="J52" s="332">
        <f ca="1">INDEX(OFFSET('Baseline NFPC'!$D$1:$W$1,$D52-1,0),MATCH(J$4,'Baseline NFPC'!$D$10:$W$10,0))</f>
        <v>3.4054519742345635</v>
      </c>
      <c r="K52" s="332">
        <f ca="1">INDEX(OFFSET('Baseline NFPC'!$D$1:$W$1,$D52-1,0),MATCH(K$4,'Baseline NFPC'!$D$10:$W$10,0))</f>
        <v>3.6264051085722615</v>
      </c>
      <c r="L52" s="332">
        <f ca="1">INDEX(OFFSET('Baseline NFPC'!$D$1:$W$1,$D52-1,0),MATCH(L$4,'Baseline NFPC'!$D$10:$W$10,0))</f>
        <v>3.8206679124933585</v>
      </c>
      <c r="M52" s="332">
        <f ca="1">INDEX(OFFSET('Baseline NFPC'!$D$1:$W$1,$D52-1,0),MATCH(M$4,'Baseline NFPC'!$D$10:$W$10,0))</f>
        <v>3.7730187411741944</v>
      </c>
      <c r="N52" s="332">
        <f ca="1">INDEX(OFFSET('Baseline NFPC'!$D$1:$W$1,$D52-1,0),MATCH(N$4,'Baseline NFPC'!$D$10:$W$10,0))</f>
        <v>3.7128181039090435</v>
      </c>
      <c r="O52" s="332">
        <f ca="1">INDEX(OFFSET('Baseline NFPC'!$D$1:$W$1,$D52-1,0),MATCH(O$4,'Baseline NFPC'!$D$10:$W$10,0))</f>
        <v>3.6467082512893434</v>
      </c>
      <c r="P52" s="332">
        <f ca="1">INDEX(OFFSET('Baseline NFPC'!$D$1:$W$1,$D52-1,0),MATCH(P$4,'Baseline NFPC'!$D$10:$W$10,0))</f>
        <v>3.6129563875000104</v>
      </c>
      <c r="Q52" s="332">
        <f ca="1">INDEX(OFFSET('Baseline NFPC'!$D$1:$W$1,$D52-1,0),MATCH(Q$4,'Baseline NFPC'!$D$10:$W$10,0))</f>
        <v>3.632936575875001</v>
      </c>
      <c r="R52" s="332">
        <f ca="1">INDEX(OFFSET('Baseline NFPC'!$D$1:$W$1,$D52-1,0),MATCH(R$4,'Baseline NFPC'!$D$10:$W$10,0))</f>
        <v>3.6528942145999999</v>
      </c>
      <c r="S52" s="332">
        <f ca="1">INDEX(OFFSET('Baseline NFPC'!$D$1:$W$1,$D52-1,0),MATCH(S$4,'Baseline NFPC'!$D$10:$W$10,0))</f>
        <v>3.6728272518500082</v>
      </c>
      <c r="T52" s="332">
        <f ca="1">INDEX(OFFSET('Baseline NFPC'!$D$1:$W$1,$D52-1,0),MATCH(T$4,'Baseline NFPC'!$D$10:$W$10,0))</f>
        <v>3.8201700224000046</v>
      </c>
      <c r="U52" s="332">
        <f ca="1">INDEX(OFFSET('Baseline NFPC'!$D$1:$W$1,$D52-1,0),MATCH(U$4,'Baseline NFPC'!$D$10:$W$10,0))</f>
        <v>3.8778528702499759</v>
      </c>
      <c r="V52" s="332">
        <f ca="1">INDEX(OFFSET('Baseline NFPC'!$D$1:$W$1,$D52-1,0),MATCH(V$4,'Baseline NFPC'!$D$10:$W$10,0))</f>
        <v>3.9490926433000118</v>
      </c>
      <c r="W52" s="332">
        <f ca="1">INDEX(OFFSET('Baseline NFPC'!$D$1:$W$1,$D52-1,0),MATCH(W$4,'Baseline NFPC'!$D$10:$W$10,0))</f>
        <v>4.0379440204999728</v>
      </c>
      <c r="X52" s="332">
        <f ca="1">INDEX(OFFSET('Baseline NFPC'!$D$1:$W$1,$D52-1,0),MATCH(X$4,'Baseline NFPC'!$D$10:$W$10,0))</f>
        <v>3.9297474026000145</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107.65412775375809</v>
      </c>
      <c r="G58" s="332">
        <f ca="1">INDEX(OFFSET('Adjustment scenario'!$D$1:$W$1,$D58-1,0),MATCH(G$4,'Adjustment scenario'!$D$10:$W$10,0))</f>
        <v>105.5099779146238</v>
      </c>
      <c r="H58" s="332">
        <f ca="1">INDEX(OFFSET('Adjustment scenario'!$D$1:$W$1,$D58-1,0),MATCH(H$4,'Adjustment scenario'!$D$10:$W$10,0))</f>
        <v>104.97907714628217</v>
      </c>
      <c r="I58" s="332">
        <f ca="1">INDEX(OFFSET('Adjustment scenario'!$D$1:$W$1,$D58-1,0),MATCH(I$4,'Adjustment scenario'!$D$10:$W$10,0))</f>
        <v>103.74121471198744</v>
      </c>
      <c r="J58" s="332">
        <f ca="1">INDEX(OFFSET('Adjustment scenario'!$D$1:$W$1,$D58-1,0),MATCH(J$4,'Adjustment scenario'!$D$10:$W$10,0))</f>
        <v>101.94036868200993</v>
      </c>
      <c r="K58" s="332">
        <f ca="1">INDEX(OFFSET('Adjustment scenario'!$D$1:$W$1,$D58-1,0),MATCH(K$4,'Adjustment scenario'!$D$10:$W$10,0))</f>
        <v>99.414459074779984</v>
      </c>
      <c r="L58" s="332">
        <f ca="1">INDEX(OFFSET('Adjustment scenario'!$D$1:$W$1,$D58-1,0),MATCH(L$4,'Adjustment scenario'!$D$10:$W$10,0))</f>
        <v>96.170147465660406</v>
      </c>
      <c r="M58" s="332">
        <f ca="1">INDEX(OFFSET('Adjustment scenario'!$D$1:$W$1,$D58-1,0),MATCH(M$4,'Adjustment scenario'!$D$10:$W$10,0))</f>
        <v>93.018638969876136</v>
      </c>
      <c r="N58" s="332">
        <f ca="1">INDEX(OFFSET('Adjustment scenario'!$D$1:$W$1,$D58-1,0),MATCH(N$4,'Adjustment scenario'!$D$10:$W$10,0))</f>
        <v>90.007057094889305</v>
      </c>
      <c r="O58" s="332">
        <f ca="1">INDEX(OFFSET('Adjustment scenario'!$D$1:$W$1,$D58-1,0),MATCH(O$4,'Adjustment scenario'!$D$10:$W$10,0))</f>
        <v>87.770455071440082</v>
      </c>
      <c r="P58" s="332">
        <f ca="1">INDEX(OFFSET('Adjustment scenario'!$D$1:$W$1,$D58-1,0),MATCH(P$4,'Adjustment scenario'!$D$10:$W$10,0))</f>
        <v>85.896902520804105</v>
      </c>
      <c r="Q58" s="332">
        <f ca="1">INDEX(OFFSET('Adjustment scenario'!$D$1:$W$1,$D58-1,0),MATCH(Q$4,'Adjustment scenario'!$D$10:$W$10,0))</f>
        <v>84.320118533898082</v>
      </c>
      <c r="R58" s="332">
        <f ca="1">INDEX(OFFSET('Adjustment scenario'!$D$1:$W$1,$D58-1,0),MATCH(R$4,'Adjustment scenario'!$D$10:$W$10,0))</f>
        <v>83.015360076418162</v>
      </c>
      <c r="S58" s="332">
        <f ca="1">INDEX(OFFSET('Adjustment scenario'!$D$1:$W$1,$D58-1,0),MATCH(S$4,'Adjustment scenario'!$D$10:$W$10,0))</f>
        <v>81.957025752459714</v>
      </c>
      <c r="T58" s="332">
        <f ca="1">INDEX(OFFSET('Adjustment scenario'!$D$1:$W$1,$D58-1,0),MATCH(T$4,'Adjustment scenario'!$D$10:$W$10,0))</f>
        <v>81.023445472416014</v>
      </c>
      <c r="U58" s="332">
        <f ca="1">INDEX(OFFSET('Adjustment scenario'!$D$1:$W$1,$D58-1,0),MATCH(U$4,'Adjustment scenario'!$D$10:$W$10,0))</f>
        <v>80.276386740036912</v>
      </c>
      <c r="V58" s="332">
        <f ca="1">INDEX(OFFSET('Adjustment scenario'!$D$1:$W$1,$D58-1,0),MATCH(V$4,'Adjustment scenario'!$D$10:$W$10,0))</f>
        <v>79.69673458743226</v>
      </c>
      <c r="W58" s="332">
        <f ca="1">INDEX(OFFSET('Adjustment scenario'!$D$1:$W$1,$D58-1,0),MATCH(W$4,'Adjustment scenario'!$D$10:$W$10,0))</f>
        <v>79.245422907480503</v>
      </c>
      <c r="X58" s="332">
        <f ca="1">INDEX(OFFSET('Adjustment scenario'!$D$1:$W$1,$D58-1,0),MATCH(X$4,'Adjustment scenario'!$D$10:$W$10,0))</f>
        <v>79.100730778663817</v>
      </c>
      <c r="Y58" s="271"/>
    </row>
    <row r="59" spans="1:25" x14ac:dyDescent="0.2">
      <c r="A59" s="271"/>
      <c r="B59" s="339">
        <f>B58+1</f>
        <v>2</v>
      </c>
      <c r="C59" s="346" t="s">
        <v>128</v>
      </c>
      <c r="D59" s="344">
        <v>102</v>
      </c>
      <c r="E59" s="345" t="s">
        <v>221</v>
      </c>
      <c r="F59" s="332">
        <f ca="1">INDEX(OFFSET('Adjustment scenario'!$D$1:$W$1,$D59-1,0),MATCH(F$4,'Adjustment scenario'!$D$10:$W$10,0))</f>
        <v>9.0521709577617173</v>
      </c>
      <c r="G59" s="332">
        <f ca="1">INDEX(OFFSET('Adjustment scenario'!$D$1:$W$1,$D59-1,0),MATCH(G$4,'Adjustment scenario'!$D$10:$W$10,0))</f>
        <v>8.1018922360868402</v>
      </c>
      <c r="H59" s="332">
        <f ca="1">INDEX(OFFSET('Adjustment scenario'!$D$1:$W$1,$D59-1,0),MATCH(H$4,'Adjustment scenario'!$D$10:$W$10,0))</f>
        <v>8.0987933404520014</v>
      </c>
      <c r="I59" s="332">
        <f ca="1">INDEX(OFFSET('Adjustment scenario'!$D$1:$W$1,$D59-1,0),MATCH(I$4,'Adjustment scenario'!$D$10:$W$10,0))</f>
        <v>8.1262213509330703</v>
      </c>
      <c r="J59" s="332">
        <f ca="1">INDEX(OFFSET('Adjustment scenario'!$D$1:$W$1,$D59-1,0),MATCH(J$4,'Adjustment scenario'!$D$10:$W$10,0))</f>
        <v>8.048509850189669</v>
      </c>
      <c r="K59" s="332">
        <f ca="1">INDEX(OFFSET('Adjustment scenario'!$D$1:$W$1,$D59-1,0),MATCH(K$4,'Adjustment scenario'!$D$10:$W$10,0))</f>
        <v>7.9215339019974236</v>
      </c>
      <c r="L59" s="332">
        <f ca="1">INDEX(OFFSET('Adjustment scenario'!$D$1:$W$1,$D59-1,0),MATCH(L$4,'Adjustment scenario'!$D$10:$W$10,0))</f>
        <v>7.6948352225601857</v>
      </c>
      <c r="M59" s="332">
        <f ca="1">INDEX(OFFSET('Adjustment scenario'!$D$1:$W$1,$D59-1,0),MATCH(M$4,'Adjustment scenario'!$D$10:$W$10,0))</f>
        <v>7.4710860077188768</v>
      </c>
      <c r="N59" s="332">
        <f ca="1">INDEX(OFFSET('Adjustment scenario'!$D$1:$W$1,$D59-1,0),MATCH(N$4,'Adjustment scenario'!$D$10:$W$10,0))</f>
        <v>7.2536055276542992</v>
      </c>
      <c r="O59" s="332">
        <f ca="1">INDEX(OFFSET('Adjustment scenario'!$D$1:$W$1,$D59-1,0),MATCH(O$4,'Adjustment scenario'!$D$10:$W$10,0))</f>
        <v>7.0745634331951903</v>
      </c>
      <c r="P59" s="332">
        <f ca="1">INDEX(OFFSET('Adjustment scenario'!$D$1:$W$1,$D59-1,0),MATCH(P$4,'Adjustment scenario'!$D$10:$W$10,0))</f>
        <v>6.9229490779067548</v>
      </c>
      <c r="Q59" s="332">
        <f ca="1">INDEX(OFFSET('Adjustment scenario'!$D$1:$W$1,$D59-1,0),MATCH(Q$4,'Adjustment scenario'!$D$10:$W$10,0))</f>
        <v>6.7743185637791186</v>
      </c>
      <c r="R59" s="332">
        <f ca="1">INDEX(OFFSET('Adjustment scenario'!$D$1:$W$1,$D59-1,0),MATCH(R$4,'Adjustment scenario'!$D$10:$W$10,0))</f>
        <v>6.649224166795447</v>
      </c>
      <c r="S59" s="332">
        <f ca="1">INDEX(OFFSET('Adjustment scenario'!$D$1:$W$1,$D59-1,0),MATCH(S$4,'Adjustment scenario'!$D$10:$W$10,0))</f>
        <v>6.5456931809935845</v>
      </c>
      <c r="T59" s="332">
        <f ca="1">INDEX(OFFSET('Adjustment scenario'!$D$1:$W$1,$D59-1,0),MATCH(T$4,'Adjustment scenario'!$D$10:$W$10,0))</f>
        <v>6.4537549111712851</v>
      </c>
      <c r="U59" s="332">
        <f ca="1">INDEX(OFFSET('Adjustment scenario'!$D$1:$W$1,$D59-1,0),MATCH(U$4,'Adjustment scenario'!$D$10:$W$10,0))</f>
        <v>6.377432979010762</v>
      </c>
      <c r="V59" s="332">
        <f ca="1">INDEX(OFFSET('Adjustment scenario'!$D$1:$W$1,$D59-1,0),MATCH(V$4,'Adjustment scenario'!$D$10:$W$10,0))</f>
        <v>6.3150851241514765</v>
      </c>
      <c r="W59" s="332">
        <f ca="1">INDEX(OFFSET('Adjustment scenario'!$D$1:$W$1,$D59-1,0),MATCH(W$4,'Adjustment scenario'!$D$10:$W$10,0))</f>
        <v>6.2649570935150818</v>
      </c>
      <c r="X59" s="332">
        <f ca="1">INDEX(OFFSET('Adjustment scenario'!$D$1:$W$1,$D59-1,0),MATCH(X$4,'Adjustment scenario'!$D$10:$W$10,0))</f>
        <v>6.2368213388714091</v>
      </c>
      <c r="Y59" s="271"/>
    </row>
    <row r="60" spans="1:25" x14ac:dyDescent="0.2">
      <c r="A60" s="271"/>
      <c r="B60" s="339">
        <f t="shared" ref="B60:B62" si="6">B59+1</f>
        <v>3</v>
      </c>
      <c r="C60" s="346" t="s">
        <v>129</v>
      </c>
      <c r="D60" s="344">
        <v>103</v>
      </c>
      <c r="E60" s="345" t="s">
        <v>221</v>
      </c>
      <c r="F60" s="332">
        <f ca="1">INDEX(OFFSET('Adjustment scenario'!$D$1:$W$1,$D60-1,0),MATCH(F$4,'Adjustment scenario'!$D$10:$W$10,0))</f>
        <v>7.0350986971308531</v>
      </c>
      <c r="G60" s="332">
        <f ca="1">INDEX(OFFSET('Adjustment scenario'!$D$1:$W$1,$D60-1,0),MATCH(G$4,'Adjustment scenario'!$D$10:$W$10,0))</f>
        <v>6.9602121255570193</v>
      </c>
      <c r="H60" s="332">
        <f ca="1">INDEX(OFFSET('Adjustment scenario'!$D$1:$W$1,$D60-1,0),MATCH(H$4,'Adjustment scenario'!$D$10:$W$10,0))</f>
        <v>6.9167660376294169</v>
      </c>
      <c r="I60" s="332">
        <f ca="1">INDEX(OFFSET('Adjustment scenario'!$D$1:$W$1,$D60-1,0),MATCH(I$4,'Adjustment scenario'!$D$10:$W$10,0))</f>
        <v>6.9008213919165078</v>
      </c>
      <c r="J60" s="332">
        <f ca="1">INDEX(OFFSET('Adjustment scenario'!$D$1:$W$1,$D60-1,0),MATCH(J$4,'Adjustment scenario'!$D$10:$W$10,0))</f>
        <v>6.8027175673420741</v>
      </c>
      <c r="K60" s="332">
        <f ca="1">INDEX(OFFSET('Adjustment scenario'!$D$1:$W$1,$D60-1,0),MATCH(K$4,'Adjustment scenario'!$D$10:$W$10,0))</f>
        <v>6.6664918203224062</v>
      </c>
      <c r="L60" s="332">
        <f ca="1">INDEX(OFFSET('Adjustment scenario'!$D$1:$W$1,$D60-1,0),MATCH(L$4,'Adjustment scenario'!$D$10:$W$10,0))</f>
        <v>6.450756661780944</v>
      </c>
      <c r="M60" s="332">
        <f ca="1">INDEX(OFFSET('Adjustment scenario'!$D$1:$W$1,$D60-1,0),MATCH(M$4,'Adjustment scenario'!$D$10:$W$10,0))</f>
        <v>6.2395772389536797</v>
      </c>
      <c r="N60" s="332">
        <f ca="1">INDEX(OFFSET('Adjustment scenario'!$D$1:$W$1,$D60-1,0),MATCH(N$4,'Adjustment scenario'!$D$10:$W$10,0))</f>
        <v>6.035474844010011</v>
      </c>
      <c r="O60" s="332">
        <f ca="1">INDEX(OFFSET('Adjustment scenario'!$D$1:$W$1,$D60-1,0),MATCH(O$4,'Adjustment scenario'!$D$10:$W$10,0))</f>
        <v>5.8648284949668437</v>
      </c>
      <c r="P60" s="332">
        <f ca="1">INDEX(OFFSET('Adjustment scenario'!$D$1:$W$1,$D60-1,0),MATCH(P$4,'Adjustment scenario'!$D$10:$W$10,0))</f>
        <v>5.716857275133342</v>
      </c>
      <c r="Q60" s="332">
        <f ca="1">INDEX(OFFSET('Adjustment scenario'!$D$1:$W$1,$D60-1,0),MATCH(Q$4,'Adjustment scenario'!$D$10:$W$10,0))</f>
        <v>5.5885734997281862</v>
      </c>
      <c r="R60" s="332">
        <f ca="1">INDEX(OFFSET('Adjustment scenario'!$D$1:$W$1,$D60-1,0),MATCH(R$4,'Adjustment scenario'!$D$10:$W$10,0))</f>
        <v>5.4787659612710646</v>
      </c>
      <c r="S60" s="332">
        <f ca="1">INDEX(OFFSET('Adjustment scenario'!$D$1:$W$1,$D60-1,0),MATCH(S$4,'Adjustment scenario'!$D$10:$W$10,0))</f>
        <v>5.3859122226178293</v>
      </c>
      <c r="T60" s="332">
        <f ca="1">INDEX(OFFSET('Adjustment scenario'!$D$1:$W$1,$D60-1,0),MATCH(T$4,'Adjustment scenario'!$D$10:$W$10,0))</f>
        <v>5.3019230349216286</v>
      </c>
      <c r="U60" s="332">
        <f ca="1">INDEX(OFFSET('Adjustment scenario'!$D$1:$W$1,$D60-1,0),MATCH(U$4,'Adjustment scenario'!$D$10:$W$10,0))</f>
        <v>5.2302160943283456</v>
      </c>
      <c r="V60" s="332">
        <f ca="1">INDEX(OFFSET('Adjustment scenario'!$D$1:$W$1,$D60-1,0),MATCH(V$4,'Adjustment scenario'!$D$10:$W$10,0))</f>
        <v>5.1694924336078492</v>
      </c>
      <c r="W60" s="332">
        <f ca="1">INDEX(OFFSET('Adjustment scenario'!$D$1:$W$1,$D60-1,0),MATCH(W$4,'Adjustment scenario'!$D$10:$W$10,0))</f>
        <v>5.1183609941047159</v>
      </c>
      <c r="X60" s="332">
        <f ca="1">INDEX(OFFSET('Adjustment scenario'!$D$1:$W$1,$D60-1,0),MATCH(X$4,'Adjustment scenario'!$D$10:$W$10,0))</f>
        <v>5.0849005975251353</v>
      </c>
      <c r="Y60" s="271"/>
    </row>
    <row r="61" spans="1:25" x14ac:dyDescent="0.2">
      <c r="A61" s="271"/>
      <c r="B61" s="339">
        <f t="shared" si="6"/>
        <v>4</v>
      </c>
      <c r="C61" s="346" t="s">
        <v>130</v>
      </c>
      <c r="D61" s="344">
        <v>104</v>
      </c>
      <c r="E61" s="345" t="s">
        <v>221</v>
      </c>
      <c r="F61" s="332">
        <f ca="1">INDEX(OFFSET('Adjustment scenario'!$D$1:$W$1,$D61-1,0),MATCH(F$4,'Adjustment scenario'!$D$10:$W$10,0))</f>
        <v>4.5481690823205021</v>
      </c>
      <c r="G61" s="332">
        <f ca="1">INDEX(OFFSET('Adjustment scenario'!$D$1:$W$1,$D61-1,0),MATCH(G$4,'Adjustment scenario'!$D$10:$W$10,0))</f>
        <v>3.2201343356475656</v>
      </c>
      <c r="H61" s="332">
        <f ca="1">INDEX(OFFSET('Adjustment scenario'!$D$1:$W$1,$D61-1,0),MATCH(H$4,'Adjustment scenario'!$D$10:$W$10,0))</f>
        <v>3.0822403661795215</v>
      </c>
      <c r="I61" s="332">
        <f ca="1">INDEX(OFFSET('Adjustment scenario'!$D$1:$W$1,$D61-1,0),MATCH(I$4,'Adjustment scenario'!$D$10:$W$10,0))</f>
        <v>1.9204339330566222</v>
      </c>
      <c r="J61" s="332">
        <f ca="1">INDEX(OFFSET('Adjustment scenario'!$D$1:$W$1,$D61-1,0),MATCH(J$4,'Adjustment scenario'!$D$10:$W$10,0))</f>
        <v>1.4537413858403254</v>
      </c>
      <c r="K61" s="332">
        <f ca="1">INDEX(OFFSET('Adjustment scenario'!$D$1:$W$1,$D61-1,0),MATCH(K$4,'Adjustment scenario'!$D$10:$W$10,0))</f>
        <v>0.87128066811271765</v>
      </c>
      <c r="L61" s="332">
        <f ca="1">INDEX(OFFSET('Adjustment scenario'!$D$1:$W$1,$D61-1,0),MATCH(L$4,'Adjustment scenario'!$D$10:$W$10,0))</f>
        <v>0.75937724347039826</v>
      </c>
      <c r="M61" s="332">
        <f ca="1">INDEX(OFFSET('Adjustment scenario'!$D$1:$W$1,$D61-1,0),MATCH(M$4,'Adjustment scenario'!$D$10:$W$10,0))</f>
        <v>0.68117846411112071</v>
      </c>
      <c r="N61" s="332">
        <f ca="1">INDEX(OFFSET('Adjustment scenario'!$D$1:$W$1,$D61-1,0),MATCH(N$4,'Adjustment scenario'!$D$10:$W$10,0))</f>
        <v>0.6432272196877431</v>
      </c>
      <c r="O61" s="332">
        <f ca="1">INDEX(OFFSET('Adjustment scenario'!$D$1:$W$1,$D61-1,0),MATCH(O$4,'Adjustment scenario'!$D$10:$W$10,0))</f>
        <v>0.87163207649478736</v>
      </c>
      <c r="P61" s="332">
        <f ca="1">INDEX(OFFSET('Adjustment scenario'!$D$1:$W$1,$D61-1,0),MATCH(P$4,'Adjustment scenario'!$D$10:$W$10,0))</f>
        <v>1.1122344503829547</v>
      </c>
      <c r="Q61" s="332">
        <f ca="1">INDEX(OFFSET('Adjustment scenario'!$D$1:$W$1,$D61-1,0),MATCH(Q$4,'Adjustment scenario'!$D$10:$W$10,0))</f>
        <v>1.3440755554998605</v>
      </c>
      <c r="R61" s="332">
        <f ca="1">INDEX(OFFSET('Adjustment scenario'!$D$1:$W$1,$D61-1,0),MATCH(R$4,'Adjustment scenario'!$D$10:$W$10,0))</f>
        <v>1.5618562259973336</v>
      </c>
      <c r="S61" s="332">
        <f ca="1">INDEX(OFFSET('Adjustment scenario'!$D$1:$W$1,$D61-1,0),MATCH(S$4,'Adjustment scenario'!$D$10:$W$10,0))</f>
        <v>1.7641055588504919</v>
      </c>
      <c r="T61" s="332">
        <f ca="1">INDEX(OFFSET('Adjustment scenario'!$D$1:$W$1,$D61-1,0),MATCH(T$4,'Adjustment scenario'!$D$10:$W$10,0))</f>
        <v>1.9509996999578034</v>
      </c>
      <c r="U61" s="332">
        <f ca="1">INDEX(OFFSET('Adjustment scenario'!$D$1:$W$1,$D61-1,0),MATCH(U$4,'Adjustment scenario'!$D$10:$W$10,0))</f>
        <v>2.1341943469247822</v>
      </c>
      <c r="V61" s="332">
        <f ca="1">INDEX(OFFSET('Adjustment scenario'!$D$1:$W$1,$D61-1,0),MATCH(V$4,'Adjustment scenario'!$D$10:$W$10,0))</f>
        <v>2.3145541110252119</v>
      </c>
      <c r="W61" s="332">
        <f ca="1">INDEX(OFFSET('Adjustment scenario'!$D$1:$W$1,$D61-1,0),MATCH(W$4,'Adjustment scenario'!$D$10:$W$10,0))</f>
        <v>2.4755325073793868</v>
      </c>
      <c r="X61" s="332">
        <f ca="1">INDEX(OFFSET('Adjustment scenario'!$D$1:$W$1,$D61-1,0),MATCH(X$4,'Adjustment scenario'!$D$10:$W$10,0))</f>
        <v>2.6721269923845545</v>
      </c>
      <c r="Y61" s="271"/>
    </row>
    <row r="62" spans="1:25" x14ac:dyDescent="0.2">
      <c r="A62" s="271"/>
      <c r="B62" s="339">
        <f t="shared" si="6"/>
        <v>5</v>
      </c>
      <c r="C62" s="346" t="s">
        <v>131</v>
      </c>
      <c r="D62" s="344">
        <v>105</v>
      </c>
      <c r="E62" s="345" t="s">
        <v>221</v>
      </c>
      <c r="F62" s="332">
        <f ca="1">INDEX(OFFSET('Adjustment scenario'!$D$1:$W$1,$D62-1,0),MATCH(F$4,'Adjustment scenario'!$D$10:$W$10,0))</f>
        <v>0.30565086677871672</v>
      </c>
      <c r="G62" s="332">
        <f ca="1">INDEX(OFFSET('Adjustment scenario'!$D$1:$W$1,$D62-1,0),MATCH(G$4,'Adjustment scenario'!$D$10:$W$10,0))</f>
        <v>0.21640287179746234</v>
      </c>
      <c r="H62" s="332">
        <f ca="1">INDEX(OFFSET('Adjustment scenario'!$D$1:$W$1,$D62-1,0),MATCH(H$4,'Adjustment scenario'!$D$10:$W$10,0))</f>
        <v>0.20713597548630724</v>
      </c>
      <c r="I62" s="332">
        <f ca="1">INDEX(OFFSET('Adjustment scenario'!$D$1:$W$1,$D62-1,0),MATCH(I$4,'Adjustment scenario'!$D$10:$W$10,0))</f>
        <v>0.12905903136093061</v>
      </c>
      <c r="J62" s="332">
        <f ca="1">INDEX(OFFSET('Adjustment scenario'!$D$1:$W$1,$D62-1,0),MATCH(J$4,'Adjustment scenario'!$D$10:$W$10,0))</f>
        <v>9.7695865437677373E-2</v>
      </c>
      <c r="K62" s="332">
        <f ca="1">INDEX(OFFSET('Adjustment scenario'!$D$1:$W$1,$D62-1,0),MATCH(K$4,'Adjustment scenario'!$D$10:$W$10,0))</f>
        <v>5.8552724535104544E-2</v>
      </c>
      <c r="L62" s="332">
        <f ca="1">INDEX(OFFSET('Adjustment scenario'!$D$1:$W$1,$D62-1,0),MATCH(L$4,'Adjustment scenario'!$D$10:$W$10,0))</f>
        <v>5.1032472293298929E-2</v>
      </c>
      <c r="M62" s="332">
        <f ca="1">INDEX(OFFSET('Adjustment scenario'!$D$1:$W$1,$D62-1,0),MATCH(M$4,'Adjustment scenario'!$D$10:$W$10,0))</f>
        <v>4.5777275254756528E-2</v>
      </c>
      <c r="N62" s="332">
        <f ca="1">INDEX(OFFSET('Adjustment scenario'!$D$1:$W$1,$D62-1,0),MATCH(N$4,'Adjustment scenario'!$D$10:$W$10,0))</f>
        <v>4.3226835606761299E-2</v>
      </c>
      <c r="O62" s="332">
        <f ca="1">INDEX(OFFSET('Adjustment scenario'!$D$1:$W$1,$D62-1,0),MATCH(O$4,'Adjustment scenario'!$D$10:$W$10,0))</f>
        <v>5.8576340252688666E-2</v>
      </c>
      <c r="P62" s="332">
        <f ca="1">INDEX(OFFSET('Adjustment scenario'!$D$1:$W$1,$D62-1,0),MATCH(P$4,'Adjustment scenario'!$D$10:$W$10,0))</f>
        <v>7.474555533613815E-2</v>
      </c>
      <c r="Q62" s="332">
        <f ca="1">INDEX(OFFSET('Adjustment scenario'!$D$1:$W$1,$D62-1,0),MATCH(Q$4,'Adjustment scenario'!$D$10:$W$10,0))</f>
        <v>9.0325986373623546E-2</v>
      </c>
      <c r="R62" s="332">
        <f ca="1">INDEX(OFFSET('Adjustment scenario'!$D$1:$W$1,$D62-1,0),MATCH(R$4,'Adjustment scenario'!$D$10:$W$10,0))</f>
        <v>0.1049615132197893</v>
      </c>
      <c r="S62" s="332">
        <f ca="1">INDEX(OFFSET('Adjustment scenario'!$D$1:$W$1,$D62-1,0),MATCH(S$4,'Adjustment scenario'!$D$10:$W$10,0))</f>
        <v>0.11855328669458837</v>
      </c>
      <c r="T62" s="332">
        <f ca="1">INDEX(OFFSET('Adjustment scenario'!$D$1:$W$1,$D62-1,0),MATCH(T$4,'Adjustment scenario'!$D$10:$W$10,0))</f>
        <v>0.13111314434090268</v>
      </c>
      <c r="U62" s="332">
        <f ca="1">INDEX(OFFSET('Adjustment scenario'!$D$1:$W$1,$D62-1,0),MATCH(U$4,'Adjustment scenario'!$D$10:$W$10,0))</f>
        <v>0.14342438467106866</v>
      </c>
      <c r="V62" s="332">
        <f ca="1">INDEX(OFFSET('Adjustment scenario'!$D$1:$W$1,$D62-1,0),MATCH(V$4,'Adjustment scenario'!$D$10:$W$10,0))</f>
        <v>0.15554511220593309</v>
      </c>
      <c r="W62" s="332">
        <f ca="1">INDEX(OFFSET('Adjustment scenario'!$D$1:$W$1,$D62-1,0),MATCH(W$4,'Adjustment scenario'!$D$10:$W$10,0))</f>
        <v>0.16636335257645107</v>
      </c>
      <c r="X62" s="332">
        <f ca="1">INDEX(OFFSET('Adjustment scenario'!$D$1:$W$1,$D62-1,0),MATCH(X$4,'Adjustment scenario'!$D$10:$W$10,0))</f>
        <v>0.17957510298813256</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ES</v>
      </c>
      <c r="B2">
        <v>2021</v>
      </c>
      <c r="C2" s="7" cm="1">
        <f t="array" ref="C2:C22">TRANSPOSE('Adjust. no safeguard'!C12:W12)</f>
        <v>-2.1969370000000001</v>
      </c>
      <c r="D2" s="7">
        <v>1</v>
      </c>
      <c r="E2" s="7" cm="1">
        <f t="array" ref="E2:E22">TRANSPOSE('Adjust. no safeguard'!C62:W62)</f>
        <v>0</v>
      </c>
      <c r="F2" s="7" cm="1">
        <f t="array" ref="F2:F22">TRANSPOSE('Adjust. no safeguard'!C24:W24)</f>
        <v>6.4031729999999998</v>
      </c>
      <c r="G2" s="7" cm="1">
        <f t="array" ref="G2:G22">TRANSPOSE('Adjust. no safeguard'!C42:W42)</f>
        <v>2.656326</v>
      </c>
      <c r="H2" s="7" cm="1">
        <f t="array" ref="H2:H22">TRANSPOSE('Adjust. no safeguard'!C14:W14)</f>
        <v>-9.2449400000000001E-2</v>
      </c>
      <c r="I2" s="7" cm="1">
        <f t="array" ref="I2:I22">TRANSPOSE('Adjust. no safeguard'!C15:W15)</f>
        <v>1.03254E-2</v>
      </c>
      <c r="J2" s="7" cm="1">
        <f t="array" ref="J2:J22">TRANSPOSE('Adjust. no safeguard'!C64:W64)+TRANSPOSE('Adjust. no safeguard'!C65:W65)+TRANSPOSE('Adjust. no safeguard'!C66:W66)</f>
        <v>0</v>
      </c>
      <c r="K2" s="7" cm="1">
        <f t="array" ref="K2:K22">TRANSPOSE('Adjust. no safeguard'!C57:W57)</f>
        <v>116.8408</v>
      </c>
      <c r="L2" s="7" cm="1">
        <f t="array" ref="L2:L22">TRANSPOSE('Adjust. no safeguard'!C36:W36)</f>
        <v>1.94496</v>
      </c>
      <c r="M2" s="7"/>
      <c r="N2" s="7"/>
    </row>
    <row r="3" spans="1:14" x14ac:dyDescent="0.2">
      <c r="A3" t="str">
        <f>'Adjustment scenario'!C$3</f>
        <v>ES</v>
      </c>
      <c r="B3">
        <v>2022</v>
      </c>
      <c r="C3" s="7">
        <v>-2.3947409999999998</v>
      </c>
      <c r="D3" s="7">
        <v>1</v>
      </c>
      <c r="E3" s="7">
        <v>-8.8264218546610901E-2</v>
      </c>
      <c r="F3" s="7">
        <v>5.7706480000000004</v>
      </c>
      <c r="G3" s="7">
        <v>4.1423170000000002</v>
      </c>
      <c r="H3" s="7">
        <v>-6.6846100000000006E-2</v>
      </c>
      <c r="I3" s="7">
        <v>0.81181420000000004</v>
      </c>
      <c r="J3" s="7">
        <v>0</v>
      </c>
      <c r="K3" s="7">
        <v>111.62002928145338</v>
      </c>
      <c r="L3" s="7">
        <v>2.2273139999999998</v>
      </c>
      <c r="M3" s="7"/>
      <c r="N3" s="7"/>
    </row>
    <row r="4" spans="1:14" x14ac:dyDescent="0.2">
      <c r="A4" t="str">
        <f>'Adjustment scenario'!C$3</f>
        <v>ES</v>
      </c>
      <c r="B4">
        <v>2023</v>
      </c>
      <c r="C4" s="7">
        <v>-1.6308560000000001</v>
      </c>
      <c r="D4" s="7">
        <v>1</v>
      </c>
      <c r="E4" s="7">
        <v>-0.45498952769530077</v>
      </c>
      <c r="F4" s="7">
        <v>2.5032939999999999</v>
      </c>
      <c r="G4" s="7">
        <v>5.9277860000000002</v>
      </c>
      <c r="H4" s="7">
        <v>0</v>
      </c>
      <c r="I4" s="7">
        <v>1.217482</v>
      </c>
      <c r="J4" s="7">
        <v>0</v>
      </c>
      <c r="K4" s="7">
        <v>107.65412775375809</v>
      </c>
      <c r="L4" s="7">
        <v>2.3933339999999999</v>
      </c>
      <c r="M4" s="7"/>
      <c r="N4" s="7"/>
    </row>
    <row r="5" spans="1:14" x14ac:dyDescent="0.2">
      <c r="A5" t="str">
        <f>'Adjustment scenario'!C$3</f>
        <v>ES</v>
      </c>
      <c r="B5">
        <v>2024</v>
      </c>
      <c r="C5" s="7">
        <v>-0.84895830000000005</v>
      </c>
      <c r="D5" s="7">
        <v>1</v>
      </c>
      <c r="E5" s="7">
        <v>-0.58847623913428604</v>
      </c>
      <c r="F5" s="7">
        <v>2.144717</v>
      </c>
      <c r="G5" s="7">
        <v>3.2528440000000001</v>
      </c>
      <c r="H5" s="7">
        <v>-0.18809000000000001</v>
      </c>
      <c r="I5" s="7">
        <v>0.45447080000000001</v>
      </c>
      <c r="J5" s="7">
        <v>0</v>
      </c>
      <c r="K5" s="7">
        <v>105.5099779146238</v>
      </c>
      <c r="L5" s="7">
        <v>2.4819740000000001</v>
      </c>
      <c r="M5" s="7"/>
      <c r="N5" s="7"/>
    </row>
    <row r="6" spans="1:14" x14ac:dyDescent="0.2">
      <c r="A6" t="str">
        <f>'Adjustment scenario'!C$3</f>
        <v>ES</v>
      </c>
      <c r="B6">
        <v>2025</v>
      </c>
      <c r="C6" s="7">
        <v>1.1041699999999932E-2</v>
      </c>
      <c r="D6" s="7">
        <v>1</v>
      </c>
      <c r="E6" s="7">
        <v>-0.21073918240789993</v>
      </c>
      <c r="F6" s="7">
        <v>1.3821190000000039</v>
      </c>
      <c r="G6" s="7">
        <v>2.3423060000000002</v>
      </c>
      <c r="H6" s="7">
        <v>0</v>
      </c>
      <c r="I6" s="7">
        <v>0.94</v>
      </c>
      <c r="J6" s="7">
        <v>0</v>
      </c>
      <c r="K6" s="7">
        <v>104.97907714628217</v>
      </c>
      <c r="L6" s="7">
        <v>2.5283959999999999</v>
      </c>
      <c r="M6" s="7"/>
      <c r="N6" s="7"/>
    </row>
    <row r="7" spans="1:14" x14ac:dyDescent="0.2">
      <c r="A7" t="str">
        <f>'Adjustment scenario'!C$3</f>
        <v>ES</v>
      </c>
      <c r="B7">
        <v>2026</v>
      </c>
      <c r="C7" s="7">
        <v>0.87104169999999992</v>
      </c>
      <c r="D7" s="7">
        <v>1</v>
      </c>
      <c r="E7" s="7">
        <v>0.23981409117590907</v>
      </c>
      <c r="F7" s="7">
        <v>0.84440220190526993</v>
      </c>
      <c r="G7" s="7">
        <v>2.3682677500000002</v>
      </c>
      <c r="H7" s="7">
        <v>0</v>
      </c>
      <c r="I7" s="7">
        <v>0</v>
      </c>
      <c r="J7" s="7">
        <v>0</v>
      </c>
      <c r="K7" s="7">
        <v>103.74121471198744</v>
      </c>
      <c r="L7" s="7">
        <v>2.6361246787580406</v>
      </c>
      <c r="M7" s="7"/>
      <c r="N7" s="7"/>
    </row>
    <row r="8" spans="1:14" x14ac:dyDescent="0.2">
      <c r="A8" t="str">
        <f>'Adjustment scenario'!C$3</f>
        <v>ES</v>
      </c>
      <c r="B8">
        <v>2027</v>
      </c>
      <c r="C8" s="7">
        <v>1.7310417</v>
      </c>
      <c r="D8" s="7">
        <v>1</v>
      </c>
      <c r="E8" s="7">
        <v>0.53798129030580322</v>
      </c>
      <c r="F8" s="7">
        <v>0.92296823296240671</v>
      </c>
      <c r="G8" s="7">
        <v>2.3942295000000002</v>
      </c>
      <c r="H8" s="7">
        <v>0</v>
      </c>
      <c r="I8" s="7">
        <v>0</v>
      </c>
      <c r="J8" s="7">
        <v>0</v>
      </c>
      <c r="K8" s="7">
        <v>101.94036868200992</v>
      </c>
      <c r="L8" s="7">
        <v>2.73386480148549</v>
      </c>
      <c r="M8" s="7"/>
      <c r="N8" s="7"/>
    </row>
    <row r="9" spans="1:14" x14ac:dyDescent="0.2">
      <c r="A9" t="str">
        <f>'Adjustment scenario'!C$3</f>
        <v>ES</v>
      </c>
      <c r="B9">
        <v>2028</v>
      </c>
      <c r="C9" s="7">
        <v>2.5910416999999999</v>
      </c>
      <c r="D9" s="7">
        <v>1</v>
      </c>
      <c r="E9" s="7">
        <v>0.73497826497724239</v>
      </c>
      <c r="F9" s="7">
        <v>1.062998371462176</v>
      </c>
      <c r="G9" s="7">
        <v>2.4201912500000002</v>
      </c>
      <c r="H9" s="7">
        <v>0</v>
      </c>
      <c r="I9" s="7">
        <v>0</v>
      </c>
      <c r="J9" s="7">
        <v>0</v>
      </c>
      <c r="K9" s="7">
        <v>99.41445907477997</v>
      </c>
      <c r="L9" s="7">
        <v>2.8287631783892073</v>
      </c>
      <c r="M9" s="7"/>
      <c r="N9" s="7"/>
    </row>
    <row r="10" spans="1:14" x14ac:dyDescent="0.2">
      <c r="A10" t="str">
        <f>'Adjustment scenario'!C$3</f>
        <v>ES</v>
      </c>
      <c r="B10">
        <v>2029</v>
      </c>
      <c r="C10" s="7">
        <v>2.5910416999999999</v>
      </c>
      <c r="D10" s="7">
        <v>1</v>
      </c>
      <c r="E10" s="7">
        <v>0.48998550998484375</v>
      </c>
      <c r="F10" s="7">
        <v>1.7627538495186501</v>
      </c>
      <c r="G10" s="7">
        <v>2.4461529999999998</v>
      </c>
      <c r="H10" s="7">
        <v>0</v>
      </c>
      <c r="I10" s="7">
        <v>0</v>
      </c>
      <c r="J10" s="7">
        <v>0.12711260000000257</v>
      </c>
      <c r="K10" s="7">
        <v>96.170147465660378</v>
      </c>
      <c r="L10" s="7">
        <v>2.919841613953964</v>
      </c>
      <c r="M10" s="7"/>
      <c r="N10" s="7"/>
    </row>
    <row r="11" spans="1:14" x14ac:dyDescent="0.2">
      <c r="A11" t="str">
        <f>'Adjustment scenario'!C$3</f>
        <v>ES</v>
      </c>
      <c r="B11">
        <v>2030</v>
      </c>
      <c r="C11" s="7">
        <v>2.5910416999999999</v>
      </c>
      <c r="D11" s="7">
        <v>1</v>
      </c>
      <c r="E11" s="7">
        <v>0.24499275499242518</v>
      </c>
      <c r="F11" s="7">
        <v>1.6885409960299302</v>
      </c>
      <c r="G11" s="7">
        <v>2.4721147499999998</v>
      </c>
      <c r="H11" s="7">
        <v>0</v>
      </c>
      <c r="I11" s="7">
        <v>0</v>
      </c>
      <c r="J11" s="7">
        <v>0.29337520000000439</v>
      </c>
      <c r="K11" s="7">
        <v>93.018638969876108</v>
      </c>
      <c r="L11" s="7">
        <v>3.0117876140919071</v>
      </c>
      <c r="M11" s="7"/>
      <c r="N11" s="7"/>
    </row>
    <row r="12" spans="1:14" x14ac:dyDescent="0.2">
      <c r="A12" t="str">
        <f>'Adjustment scenario'!C$3</f>
        <v>ES</v>
      </c>
      <c r="B12">
        <v>2031</v>
      </c>
      <c r="C12" s="7">
        <v>2.5910416999999999</v>
      </c>
      <c r="D12" s="7">
        <v>1</v>
      </c>
      <c r="E12" s="7">
        <v>0</v>
      </c>
      <c r="F12" s="7">
        <v>1.6020846487617035</v>
      </c>
      <c r="G12" s="7">
        <v>2.4980764999999998</v>
      </c>
      <c r="H12" s="7">
        <v>0</v>
      </c>
      <c r="I12" s="7">
        <v>0</v>
      </c>
      <c r="J12" s="7">
        <v>0.50427780000000388</v>
      </c>
      <c r="K12" s="7">
        <v>90.007057094889277</v>
      </c>
      <c r="L12" s="7">
        <v>3.1047909003314378</v>
      </c>
      <c r="M12" s="7"/>
      <c r="N12" s="7"/>
    </row>
    <row r="13" spans="1:14" x14ac:dyDescent="0.2">
      <c r="A13" t="str">
        <f>'Adjustment scenario'!C$3</f>
        <v>ES</v>
      </c>
      <c r="B13">
        <v>2032</v>
      </c>
      <c r="C13" s="7">
        <v>2.5910416999999999</v>
      </c>
      <c r="D13" s="7">
        <v>1</v>
      </c>
      <c r="E13" s="7">
        <v>5.9053348341331355E-7</v>
      </c>
      <c r="F13" s="7">
        <v>1.0950309999999908</v>
      </c>
      <c r="G13" s="7">
        <v>2.5240382499999998</v>
      </c>
      <c r="H13" s="7">
        <v>0</v>
      </c>
      <c r="I13" s="7">
        <v>0</v>
      </c>
      <c r="J13" s="7">
        <v>0.74311050000000467</v>
      </c>
      <c r="K13" s="7">
        <v>87.77045507144004</v>
      </c>
      <c r="L13" s="7">
        <v>3.1991376501506701</v>
      </c>
      <c r="M13" s="7"/>
      <c r="N13" s="7"/>
    </row>
    <row r="14" spans="1:14" x14ac:dyDescent="0.2">
      <c r="A14" t="str">
        <f>'Adjustment scenario'!C$3</f>
        <v>ES</v>
      </c>
      <c r="B14">
        <v>2033</v>
      </c>
      <c r="C14" s="7">
        <v>2.5910416999999999</v>
      </c>
      <c r="D14" s="7">
        <v>1</v>
      </c>
      <c r="E14" s="7">
        <v>-5.9121738358314249E-7</v>
      </c>
      <c r="F14" s="7">
        <v>1.0365249999999993</v>
      </c>
      <c r="G14" s="7">
        <v>2.5499999999999998</v>
      </c>
      <c r="H14" s="7">
        <v>0</v>
      </c>
      <c r="I14" s="7">
        <v>0</v>
      </c>
      <c r="J14" s="7">
        <v>0.9845631000000058</v>
      </c>
      <c r="K14" s="7">
        <v>85.89690252080409</v>
      </c>
      <c r="L14" s="7">
        <v>3.2976764870007291</v>
      </c>
      <c r="M14" s="7"/>
      <c r="N14" s="7"/>
    </row>
    <row r="15" spans="1:14" x14ac:dyDescent="0.2">
      <c r="A15" t="str">
        <f>'Adjustment scenario'!C$3</f>
        <v>ES</v>
      </c>
      <c r="B15">
        <v>2034</v>
      </c>
      <c r="C15" s="7">
        <v>2.5910416999999999</v>
      </c>
      <c r="D15" s="7">
        <v>1</v>
      </c>
      <c r="E15" s="7">
        <v>-6.1431246756171729E-10</v>
      </c>
      <c r="F15" s="7">
        <v>1.0831150000000012</v>
      </c>
      <c r="G15" s="7">
        <v>2.5225</v>
      </c>
      <c r="H15" s="7">
        <v>0</v>
      </c>
      <c r="I15" s="7">
        <v>0</v>
      </c>
      <c r="J15" s="7">
        <v>1.2186457000000015</v>
      </c>
      <c r="K15" s="7">
        <v>84.320118533898068</v>
      </c>
      <c r="L15" s="7">
        <v>3.386346459134653</v>
      </c>
      <c r="M15" s="7"/>
      <c r="N15" s="7"/>
    </row>
    <row r="16" spans="1:14" x14ac:dyDescent="0.2">
      <c r="A16" t="str">
        <f>'Adjustment scenario'!C$3</f>
        <v>ES</v>
      </c>
      <c r="B16">
        <v>2035</v>
      </c>
      <c r="C16" s="7">
        <v>2.5910416999999999</v>
      </c>
      <c r="D16" s="7">
        <v>1</v>
      </c>
      <c r="E16" s="7">
        <v>-6.1431246756171729E-10</v>
      </c>
      <c r="F16" s="7">
        <v>1.129708000000007</v>
      </c>
      <c r="G16" s="7">
        <v>2.4949999999999997</v>
      </c>
      <c r="H16" s="7">
        <v>0</v>
      </c>
      <c r="I16" s="7">
        <v>0</v>
      </c>
      <c r="J16" s="7">
        <v>1.4377383000000001</v>
      </c>
      <c r="K16" s="7">
        <v>83.015360076418162</v>
      </c>
      <c r="L16" s="7">
        <v>3.4667137957330088</v>
      </c>
      <c r="M16" s="7"/>
      <c r="N16" s="7"/>
    </row>
    <row r="17" spans="1:14" x14ac:dyDescent="0.2">
      <c r="A17" t="str">
        <f>'Adjustment scenario'!C$3</f>
        <v>ES</v>
      </c>
      <c r="B17">
        <v>2036</v>
      </c>
      <c r="C17" s="7">
        <v>2.5910416999999999</v>
      </c>
      <c r="D17" s="7">
        <v>1</v>
      </c>
      <c r="E17" s="7">
        <v>-5.9067344755359124E-7</v>
      </c>
      <c r="F17" s="7">
        <v>1.1763020000000068</v>
      </c>
      <c r="G17" s="7">
        <v>2.4674999999999998</v>
      </c>
      <c r="H17" s="7">
        <v>0</v>
      </c>
      <c r="I17" s="7">
        <v>0</v>
      </c>
      <c r="J17" s="7">
        <v>1.6399010000000036</v>
      </c>
      <c r="K17" s="7">
        <v>81.957025752459728</v>
      </c>
      <c r="L17" s="7">
        <v>3.5389604010391911</v>
      </c>
      <c r="M17" s="7"/>
      <c r="N17" s="7"/>
    </row>
    <row r="18" spans="1:14" x14ac:dyDescent="0.2">
      <c r="A18" t="str">
        <f>'Adjustment scenario'!C$3</f>
        <v>ES</v>
      </c>
      <c r="B18">
        <v>2037</v>
      </c>
      <c r="C18" s="7">
        <v>2.5910416999999999</v>
      </c>
      <c r="D18" s="7">
        <v>1</v>
      </c>
      <c r="E18" s="7">
        <v>-1.1797370390587147E-6</v>
      </c>
      <c r="F18" s="7">
        <v>1.3472960000000089</v>
      </c>
      <c r="G18" s="7">
        <v>2.44</v>
      </c>
      <c r="H18" s="7">
        <v>0</v>
      </c>
      <c r="I18" s="7">
        <v>0</v>
      </c>
      <c r="J18" s="7">
        <v>1.8286436000000035</v>
      </c>
      <c r="K18" s="7">
        <v>81.023445472416014</v>
      </c>
      <c r="L18" s="7">
        <v>3.6033241767476585</v>
      </c>
      <c r="M18" s="7"/>
      <c r="N18" s="7"/>
    </row>
    <row r="19" spans="1:14" x14ac:dyDescent="0.2">
      <c r="A19" t="str">
        <f>'Adjustment scenario'!C$3</f>
        <v>ES</v>
      </c>
      <c r="B19">
        <v>2038</v>
      </c>
      <c r="C19" s="7">
        <v>2.5910416999999999</v>
      </c>
      <c r="D19" s="7">
        <v>1</v>
      </c>
      <c r="E19" s="7">
        <v>-2.5801865977115313E-9</v>
      </c>
      <c r="F19" s="7">
        <v>1.4308339999999919</v>
      </c>
      <c r="G19" s="7">
        <v>2.4124999999999996</v>
      </c>
      <c r="H19" s="7">
        <v>0</v>
      </c>
      <c r="I19" s="7">
        <v>0</v>
      </c>
      <c r="J19" s="7">
        <v>2.0138062000000039</v>
      </c>
      <c r="K19" s="7">
        <v>80.276386740036898</v>
      </c>
      <c r="L19" s="7">
        <v>3.660127341840929</v>
      </c>
      <c r="M19" s="7"/>
      <c r="N19" s="7"/>
    </row>
    <row r="20" spans="1:14" x14ac:dyDescent="0.2">
      <c r="A20" t="str">
        <f>'Adjustment scenario'!C$3</f>
        <v>ES</v>
      </c>
      <c r="B20">
        <v>2039</v>
      </c>
      <c r="C20" s="7">
        <v>2.5910416999999999</v>
      </c>
      <c r="D20" s="7">
        <v>1</v>
      </c>
      <c r="E20" s="7">
        <v>-1.7666315675013421E-6</v>
      </c>
      <c r="F20" s="7">
        <v>1.5276580000000095</v>
      </c>
      <c r="G20" s="7">
        <v>2.3849999999999998</v>
      </c>
      <c r="H20" s="7">
        <v>0</v>
      </c>
      <c r="I20" s="7">
        <v>0</v>
      </c>
      <c r="J20" s="7">
        <v>2.1961888000000034</v>
      </c>
      <c r="K20" s="7">
        <v>79.69673458743226</v>
      </c>
      <c r="L20" s="7">
        <v>3.7098002215836239</v>
      </c>
      <c r="M20" s="7"/>
      <c r="N20" s="7"/>
    </row>
    <row r="21" spans="1:14" x14ac:dyDescent="0.2">
      <c r="A21" t="str">
        <f>'Adjustment scenario'!C$3</f>
        <v>ES</v>
      </c>
      <c r="B21">
        <v>2040</v>
      </c>
      <c r="C21" s="7">
        <v>2.5910416999999999</v>
      </c>
      <c r="D21" s="7">
        <v>1</v>
      </c>
      <c r="E21" s="7">
        <v>-2.3539887060275431E-6</v>
      </c>
      <c r="F21" s="7">
        <v>1.6417399999999915</v>
      </c>
      <c r="G21" s="7">
        <v>2.3574999999999999</v>
      </c>
      <c r="H21" s="7">
        <v>0</v>
      </c>
      <c r="I21" s="7">
        <v>0</v>
      </c>
      <c r="J21" s="7">
        <v>2.3581715000000036</v>
      </c>
      <c r="K21" s="7">
        <v>79.245422907480503</v>
      </c>
      <c r="L21" s="7">
        <v>3.752788578730923</v>
      </c>
      <c r="M21" s="7"/>
      <c r="N21" s="7"/>
    </row>
    <row r="22" spans="1:14" x14ac:dyDescent="0.2">
      <c r="A22" t="str">
        <f>'Adjustment scenario'!C$3</f>
        <v>ES</v>
      </c>
      <c r="B22">
        <v>2041</v>
      </c>
      <c r="C22" s="7">
        <v>2.5910416999999999</v>
      </c>
      <c r="D22" s="7">
        <v>1</v>
      </c>
      <c r="E22" s="7">
        <v>-2.7461922735838584E-9</v>
      </c>
      <c r="F22" s="7">
        <v>1.5633220000000003</v>
      </c>
      <c r="G22" s="7">
        <v>2.33</v>
      </c>
      <c r="H22" s="7">
        <v>0</v>
      </c>
      <c r="I22" s="7">
        <v>0</v>
      </c>
      <c r="J22" s="7">
        <v>2.5533040999999996</v>
      </c>
      <c r="K22" s="7">
        <v>79.100730778663831</v>
      </c>
      <c r="L22" s="7">
        <v>3.7894773848470824</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7D5379F7-D4E7-4A0C-87B7-761C7833B4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2024-06-20T10:34:50Z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