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C6D63CE3-EFEB-4889-8890-1F74611108B2}" xr6:coauthVersionLast="47" xr6:coauthVersionMax="47" xr10:uidLastSave="{00000000-0000-0000-0000-000000000000}"/>
  <bookViews>
    <workbookView xWindow="28680" yWindow="-120" windowWidth="29040" windowHeight="15990" tabRatio="788"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s>
  <calcPr calcId="191028" calcMode="autoNoTable"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V104" i="40"/>
  <c r="U104" i="40"/>
  <c r="T104" i="40"/>
  <c r="S104" i="40"/>
  <c r="R104" i="40"/>
  <c r="Q104" i="40"/>
  <c r="P104" i="40"/>
  <c r="O104" i="40"/>
  <c r="N104" i="40"/>
  <c r="M104" i="40"/>
  <c r="L104" i="40"/>
  <c r="K104" i="40"/>
  <c r="J104" i="40"/>
  <c r="I104" i="40"/>
  <c r="H104" i="40"/>
  <c r="G104" i="40"/>
  <c r="F104" i="40"/>
  <c r="E104" i="40"/>
  <c r="C7" i="40"/>
  <c r="C6" i="40"/>
  <c r="C6" i="8"/>
  <c r="C6" i="9"/>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4" l="1"/>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H62" i="9"/>
  <c r="E99" i="9" l="1"/>
  <c r="F99" i="9"/>
  <c r="G99" i="9"/>
  <c r="L14" i="21"/>
  <c r="M9" i="44" s="1"/>
  <c r="B17" i="21" l="1"/>
  <c r="B16" i="9"/>
  <c r="C27" i="40" l="1"/>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40"/>
  <c r="O38" i="40"/>
  <c r="M74" i="40"/>
  <c r="F12" i="21"/>
  <c r="F12" i="40"/>
  <c r="G12" i="40" s="1"/>
  <c r="H12" i="40" s="1"/>
  <c r="I12" i="40" s="1"/>
  <c r="J12" i="40" s="1"/>
  <c r="K12" i="40" s="1"/>
  <c r="L12" i="40" s="1"/>
  <c r="M12" i="40" s="1"/>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46" i="44" s="1"/>
  <c r="G38" i="21"/>
  <c r="H12" i="44" s="1"/>
  <c r="E37" i="21"/>
  <c r="F11" i="44" s="1"/>
  <c r="E36" i="9"/>
  <c r="F46" i="44" s="1"/>
  <c r="E38" i="21"/>
  <c r="F12" i="44" s="1"/>
  <c r="D38" i="21"/>
  <c r="F38" i="21"/>
  <c r="G12" i="44" s="1"/>
  <c r="G36" i="9"/>
  <c r="H46" i="44" s="1"/>
  <c r="G37" i="21"/>
  <c r="H11" i="44" s="1"/>
  <c r="D37" i="21"/>
  <c r="U41" i="9"/>
  <c r="V41" i="9"/>
  <c r="W41" i="9"/>
  <c r="G35" i="9"/>
  <c r="H48" i="44" s="1"/>
  <c r="Q41" i="9"/>
  <c r="R41" i="9"/>
  <c r="S41" i="9"/>
  <c r="T41" i="9"/>
  <c r="P41" i="9"/>
  <c r="O38" i="21"/>
  <c r="P12" i="44" s="1"/>
  <c r="O37" i="9"/>
  <c r="P47" i="44" s="1"/>
  <c r="G42" i="21"/>
  <c r="G41" i="9"/>
  <c r="G15" i="21"/>
  <c r="O37" i="21"/>
  <c r="P11" i="44" s="1"/>
  <c r="O36" i="9"/>
  <c r="P46" i="44" s="1"/>
  <c r="G14" i="21"/>
  <c r="H9" i="44" s="1"/>
  <c r="G13" i="9"/>
  <c r="G36" i="21"/>
  <c r="C5" i="9"/>
  <c r="F74" i="40" l="1"/>
  <c r="H13" i="44"/>
  <c r="E60" i="40"/>
  <c r="E50" i="40"/>
  <c r="F50" i="40" s="1"/>
  <c r="G7" i="44"/>
  <c r="P17" i="44"/>
  <c r="H17" i="44"/>
  <c r="H41" i="9"/>
  <c r="H51" i="44"/>
  <c r="P42" i="40"/>
  <c r="Q51" i="44"/>
  <c r="T42" i="40"/>
  <c r="U51" i="44"/>
  <c r="S42" i="40"/>
  <c r="T51" i="44"/>
  <c r="R42" i="40"/>
  <c r="S51" i="44"/>
  <c r="Q42" i="40"/>
  <c r="R51" i="44"/>
  <c r="W42" i="40"/>
  <c r="X51" i="44"/>
  <c r="V42" i="40"/>
  <c r="W51" i="44"/>
  <c r="U42" i="40"/>
  <c r="V51" i="44"/>
  <c r="H64" i="9"/>
  <c r="H38" i="40"/>
  <c r="I38" i="40" s="1"/>
  <c r="J38" i="40" s="1"/>
  <c r="K38" i="40" s="1"/>
  <c r="L38" i="40" s="1"/>
  <c r="M38" i="40" s="1"/>
  <c r="N38" i="40" s="1"/>
  <c r="F60" i="40"/>
  <c r="F52" i="40"/>
  <c r="G74" i="40"/>
  <c r="H37" i="9"/>
  <c r="G98" i="9"/>
  <c r="H37" i="21"/>
  <c r="F63" i="9"/>
  <c r="H36" i="9"/>
  <c r="H38" i="21"/>
  <c r="F64" i="9"/>
  <c r="V37" i="9"/>
  <c r="W37" i="9"/>
  <c r="U37" i="9"/>
  <c r="W36" i="9"/>
  <c r="U36" i="9"/>
  <c r="V36" i="9"/>
  <c r="S37" i="9"/>
  <c r="T37" i="9"/>
  <c r="Q37" i="9"/>
  <c r="P37" i="9"/>
  <c r="R37" i="9"/>
  <c r="Q36" i="9"/>
  <c r="R46" i="44" s="1"/>
  <c r="S36" i="9"/>
  <c r="T36" i="9"/>
  <c r="P36" i="9"/>
  <c r="R36" i="9"/>
  <c r="I41" i="9"/>
  <c r="N41" i="9"/>
  <c r="J41" i="9"/>
  <c r="K41" i="9"/>
  <c r="L41" i="9"/>
  <c r="M41" i="9"/>
  <c r="G32" i="9"/>
  <c r="H52" i="44" s="1"/>
  <c r="D23" i="9"/>
  <c r="D24" i="40" s="1"/>
  <c r="E23" i="9"/>
  <c r="F23" i="9"/>
  <c r="C3" i="9"/>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I38" i="21"/>
  <c r="I12" i="44"/>
  <c r="I37" i="21"/>
  <c r="I11" i="44"/>
  <c r="G51" i="40"/>
  <c r="D33" i="40"/>
  <c r="D68" i="40" s="1"/>
  <c r="N42" i="40"/>
  <c r="Q37" i="21"/>
  <c r="R11" i="44" s="1"/>
  <c r="Q37" i="40"/>
  <c r="G96" i="9"/>
  <c r="V38" i="9"/>
  <c r="V39" i="40" s="1"/>
  <c r="W38" i="9"/>
  <c r="W39" i="40" s="1"/>
  <c r="U38" i="9"/>
  <c r="O38" i="9"/>
  <c r="O39" i="40" s="1"/>
  <c r="P38" i="9"/>
  <c r="P39" i="40" s="1"/>
  <c r="P37" i="21"/>
  <c r="Q11" i="44" s="1"/>
  <c r="H42" i="21"/>
  <c r="N42" i="21"/>
  <c r="E24" i="21"/>
  <c r="F16" i="44" s="1"/>
  <c r="F24" i="21"/>
  <c r="D24" i="21"/>
  <c r="G79" i="40" l="1"/>
  <c r="G16" i="44"/>
  <c r="G38" i="9"/>
  <c r="G39" i="40" s="1"/>
  <c r="M38" i="9"/>
  <c r="M39" i="40" s="1"/>
  <c r="L38" i="9"/>
  <c r="L39" i="40" s="1"/>
  <c r="K38" i="9"/>
  <c r="K39" i="40" s="1"/>
  <c r="J38" i="9"/>
  <c r="I38" i="9"/>
  <c r="I39" i="40" s="1"/>
  <c r="H38" i="9"/>
  <c r="H39" i="40" s="1"/>
  <c r="I17" i="44"/>
  <c r="J37" i="9"/>
  <c r="J47" i="44"/>
  <c r="J36" i="9"/>
  <c r="J46" i="44"/>
  <c r="O17" i="44"/>
  <c r="J37" i="21"/>
  <c r="J11" i="44"/>
  <c r="J38" i="21"/>
  <c r="J12" i="44"/>
  <c r="G101" i="40"/>
  <c r="G101" i="9"/>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G50" i="40" l="1"/>
  <c r="K36" i="9"/>
  <c r="K46" i="44"/>
  <c r="K37" i="9"/>
  <c r="K47" i="44"/>
  <c r="H79" i="40"/>
  <c r="K38" i="21"/>
  <c r="K12" i="44"/>
  <c r="K37" i="21"/>
  <c r="K11" i="44"/>
  <c r="G60" i="40"/>
  <c r="G25" i="35"/>
  <c r="G52" i="40"/>
  <c r="G13" i="40"/>
  <c r="J39" i="21"/>
  <c r="J39" i="40"/>
  <c r="H52" i="40" l="1"/>
  <c r="I79" i="40"/>
  <c r="H60" i="40"/>
  <c r="H25" i="35"/>
  <c r="H13" i="40"/>
  <c r="H50" i="40"/>
  <c r="L37" i="9"/>
  <c r="L47" i="44"/>
  <c r="L36" i="9"/>
  <c r="L46" i="44"/>
  <c r="L37" i="21"/>
  <c r="L11" i="44"/>
  <c r="L38" i="21"/>
  <c r="L12" i="44"/>
  <c r="S38" i="9"/>
  <c r="S39" i="40" s="1"/>
  <c r="Q38" i="9"/>
  <c r="Q39" i="40" s="1"/>
  <c r="R38" i="9"/>
  <c r="R39" i="40" s="1"/>
  <c r="T38" i="9"/>
  <c r="C36" i="21"/>
  <c r="D35" i="9"/>
  <c r="D36" i="21"/>
  <c r="E36" i="21"/>
  <c r="F13" i="44" s="1"/>
  <c r="F36" i="21"/>
  <c r="C12" i="21"/>
  <c r="C12" i="9"/>
  <c r="D12" i="21"/>
  <c r="D12" i="9"/>
  <c r="E12" i="21"/>
  <c r="E12" i="9"/>
  <c r="F12" i="9"/>
  <c r="G13" i="44" l="1"/>
  <c r="I52" i="40"/>
  <c r="I50" i="40"/>
  <c r="I13" i="40"/>
  <c r="I60" i="40"/>
  <c r="J79" i="40"/>
  <c r="I25" i="35"/>
  <c r="F43" i="44"/>
  <c r="F7" i="44"/>
  <c r="D49" i="9"/>
  <c r="E49" i="9" s="1"/>
  <c r="F49" i="9" s="1"/>
  <c r="G43" i="44"/>
  <c r="M36" i="9"/>
  <c r="M46" i="44"/>
  <c r="M37" i="9"/>
  <c r="M47" i="44"/>
  <c r="M38" i="21"/>
  <c r="M12" i="44"/>
  <c r="M37" i="21"/>
  <c r="M11" i="44"/>
  <c r="T39" i="21"/>
  <c r="T39" i="40"/>
  <c r="D96" i="9"/>
  <c r="G12" i="9"/>
  <c r="G78" i="9" s="1"/>
  <c r="C35" i="9"/>
  <c r="C96" i="9" s="1"/>
  <c r="J27" i="35" l="1"/>
  <c r="J13" i="40"/>
  <c r="J50" i="40"/>
  <c r="J60" i="40"/>
  <c r="K79" i="40"/>
  <c r="J52" i="40"/>
  <c r="J25" i="35"/>
  <c r="H43" i="44"/>
  <c r="G49" i="9"/>
  <c r="N37" i="9"/>
  <c r="O47" i="44" s="1"/>
  <c r="N47" i="44"/>
  <c r="N36" i="9"/>
  <c r="O46" i="44" s="1"/>
  <c r="N46" i="44"/>
  <c r="N37" i="21"/>
  <c r="N11" i="44"/>
  <c r="N38" i="21"/>
  <c r="N12" i="44"/>
  <c r="C101" i="40"/>
  <c r="C106" i="40" s="1"/>
  <c r="D101" i="40"/>
  <c r="D106" i="40" s="1"/>
  <c r="H12" i="9"/>
  <c r="H78" i="9" s="1"/>
  <c r="K13" i="40" l="1"/>
  <c r="L79" i="40"/>
  <c r="K52" i="40"/>
  <c r="K50" i="40"/>
  <c r="K25" i="35"/>
  <c r="K60" i="40"/>
  <c r="H49" i="9"/>
  <c r="H59" i="9"/>
  <c r="I43" i="44"/>
  <c r="O12" i="44"/>
  <c r="O11" i="44"/>
  <c r="I12" i="9"/>
  <c r="I78" i="9" s="1"/>
  <c r="C47" i="21"/>
  <c r="C46" i="9"/>
  <c r="L13" i="40" l="1"/>
  <c r="L50" i="40"/>
  <c r="L52" i="40"/>
  <c r="L60" i="40"/>
  <c r="L25" i="35"/>
  <c r="M79" i="40"/>
  <c r="D81" i="40" s="1"/>
  <c r="I49" i="9"/>
  <c r="J12" i="9"/>
  <c r="J78" i="9" s="1"/>
  <c r="J43" i="44"/>
  <c r="F51" i="9"/>
  <c r="G51" i="9"/>
  <c r="H51" i="9"/>
  <c r="D50" i="9"/>
  <c r="B18" i="9"/>
  <c r="M13" i="40" l="1"/>
  <c r="M25" i="35"/>
  <c r="M60" i="40"/>
  <c r="M27" i="35"/>
  <c r="N12" i="40"/>
  <c r="N79" i="40" s="1"/>
  <c r="J49" i="9"/>
  <c r="M50" i="40"/>
  <c r="M52" i="40"/>
  <c r="K12" i="9"/>
  <c r="K78" i="9" s="1"/>
  <c r="K43" i="44"/>
  <c r="E63" i="9"/>
  <c r="D64" i="9"/>
  <c r="D63" i="9"/>
  <c r="E64" i="9"/>
  <c r="N13" i="40" l="1"/>
  <c r="N50" i="40"/>
  <c r="N60" i="40"/>
  <c r="K49" i="9"/>
  <c r="N52" i="40"/>
  <c r="O12" i="40"/>
  <c r="O79" i="40" s="1"/>
  <c r="L12" i="9"/>
  <c r="L78" i="9" s="1"/>
  <c r="L43" i="44"/>
  <c r="D51" i="21"/>
  <c r="C5" i="21"/>
  <c r="C7" i="21" l="1"/>
  <c r="C6" i="21"/>
  <c r="L49" i="9"/>
  <c r="O50" i="40"/>
  <c r="P51" i="40" s="1"/>
  <c r="O52" i="40"/>
  <c r="O13" i="40"/>
  <c r="O60" i="40"/>
  <c r="P12" i="40"/>
  <c r="P79" i="40" s="1"/>
  <c r="D50" i="21"/>
  <c r="E50" i="21" s="1"/>
  <c r="F50" i="21" s="1"/>
  <c r="M12" i="9"/>
  <c r="M43" i="44"/>
  <c r="D65" i="21"/>
  <c r="F65" i="21"/>
  <c r="E65" i="21"/>
  <c r="M49" i="9" l="1"/>
  <c r="M78" i="9"/>
  <c r="P52" i="40"/>
  <c r="P60" i="40"/>
  <c r="P13" i="40"/>
  <c r="Q12" i="40"/>
  <c r="Q79" i="40" s="1"/>
  <c r="P50" i="40"/>
  <c r="N12" i="9"/>
  <c r="N43" i="44"/>
  <c r="I64" i="21"/>
  <c r="G64" i="21"/>
  <c r="H64" i="21"/>
  <c r="J64" i="21"/>
  <c r="F64" i="21"/>
  <c r="D64" i="21"/>
  <c r="N49" i="9" l="1"/>
  <c r="N78" i="9"/>
  <c r="Q13" i="40"/>
  <c r="R12" i="40"/>
  <c r="Q60" i="40"/>
  <c r="Q52" i="40"/>
  <c r="Q51" i="40"/>
  <c r="Q50" i="40"/>
  <c r="O12" i="9"/>
  <c r="O43" i="44"/>
  <c r="C48" i="21"/>
  <c r="C47" i="9"/>
  <c r="E35" i="9"/>
  <c r="F48" i="44" s="1"/>
  <c r="F35" i="9"/>
  <c r="G48" i="44" s="1"/>
  <c r="C3" i="21"/>
  <c r="R60" i="40" l="1"/>
  <c r="R79" i="40"/>
  <c r="O49" i="9"/>
  <c r="O78" i="9"/>
  <c r="R52" i="40"/>
  <c r="S12" i="40"/>
  <c r="R13" i="40"/>
  <c r="R50" i="40"/>
  <c r="R51" i="40"/>
  <c r="P12" i="9"/>
  <c r="P43" i="44"/>
  <c r="F98" i="9"/>
  <c r="E98" i="9"/>
  <c r="E96" i="9" s="1"/>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S79" i="40" l="1"/>
  <c r="P49" i="9"/>
  <c r="P78" i="9"/>
  <c r="S52" i="40"/>
  <c r="S13" i="40"/>
  <c r="T12" i="40"/>
  <c r="S60" i="40"/>
  <c r="P51" i="9"/>
  <c r="P59" i="9"/>
  <c r="S50" i="40"/>
  <c r="S51" i="40"/>
  <c r="Q12" i="9"/>
  <c r="Q43" i="44"/>
  <c r="F27" i="21"/>
  <c r="F15" i="44"/>
  <c r="D59" i="40"/>
  <c r="D77" i="40" s="1"/>
  <c r="E101" i="40"/>
  <c r="E106" i="40" s="1"/>
  <c r="F96" i="9"/>
  <c r="D23" i="21"/>
  <c r="E22" i="9"/>
  <c r="E23" i="40" s="1"/>
  <c r="E30" i="40" s="1"/>
  <c r="E62" i="40" s="1"/>
  <c r="E59" i="40" s="1"/>
  <c r="D26" i="9"/>
  <c r="E26" i="9" s="1"/>
  <c r="M39" i="21"/>
  <c r="C29" i="9"/>
  <c r="F52" i="21"/>
  <c r="C30" i="21"/>
  <c r="F50" i="9"/>
  <c r="E50" i="9"/>
  <c r="G50" i="9"/>
  <c r="F60" i="21"/>
  <c r="E60" i="21"/>
  <c r="E52" i="21"/>
  <c r="D52" i="21"/>
  <c r="D60" i="21"/>
  <c r="U12" i="40" l="1"/>
  <c r="U60" i="40" s="1"/>
  <c r="T79" i="40"/>
  <c r="Q49" i="9"/>
  <c r="Q78" i="9"/>
  <c r="T60" i="40"/>
  <c r="T13" i="40"/>
  <c r="T52" i="40"/>
  <c r="T50" i="40"/>
  <c r="T51" i="40"/>
  <c r="F26" i="9"/>
  <c r="F49" i="44"/>
  <c r="R12" i="9"/>
  <c r="R43" i="44"/>
  <c r="Q51" i="9"/>
  <c r="Q59" i="9"/>
  <c r="G27" i="21"/>
  <c r="G15" i="44"/>
  <c r="F101" i="40"/>
  <c r="F106" i="40" s="1"/>
  <c r="F22" i="9"/>
  <c r="F23" i="40" s="1"/>
  <c r="E23" i="21"/>
  <c r="H39" i="21"/>
  <c r="V39" i="21"/>
  <c r="S39" i="21"/>
  <c r="L39" i="21"/>
  <c r="W39" i="21"/>
  <c r="E39" i="21"/>
  <c r="R39" i="21"/>
  <c r="Q39" i="21"/>
  <c r="P39" i="21"/>
  <c r="N39" i="21"/>
  <c r="G39" i="21"/>
  <c r="F39" i="21"/>
  <c r="K39" i="21"/>
  <c r="I39" i="21"/>
  <c r="O39" i="21"/>
  <c r="H65" i="21"/>
  <c r="I65" i="21"/>
  <c r="G65" i="21"/>
  <c r="E64" i="21"/>
  <c r="J65" i="21"/>
  <c r="E29" i="9"/>
  <c r="E61" i="9" s="1"/>
  <c r="F44" i="44" s="1"/>
  <c r="H50" i="9"/>
  <c r="D29" i="9"/>
  <c r="D61" i="9" s="1"/>
  <c r="F51" i="21"/>
  <c r="E51" i="21"/>
  <c r="V12" i="40" l="1"/>
  <c r="V79" i="40" s="1"/>
  <c r="U13" i="40"/>
  <c r="U79" i="40"/>
  <c r="U52" i="40"/>
  <c r="R49" i="9"/>
  <c r="R78" i="9"/>
  <c r="U51" i="40"/>
  <c r="U50" i="40"/>
  <c r="S12" i="9"/>
  <c r="S43" i="44"/>
  <c r="R59" i="9"/>
  <c r="R51" i="9"/>
  <c r="G26" i="9"/>
  <c r="G49" i="44"/>
  <c r="H27" i="21"/>
  <c r="H15" i="44"/>
  <c r="F30" i="40"/>
  <c r="F62" i="40" s="1"/>
  <c r="G23" i="40"/>
  <c r="G22" i="9"/>
  <c r="F23" i="21"/>
  <c r="I50" i="9"/>
  <c r="F29" i="9"/>
  <c r="F61" i="9" s="1"/>
  <c r="G44" i="44" s="1"/>
  <c r="E30" i="21"/>
  <c r="E62" i="21" s="1"/>
  <c r="F8" i="44" s="1"/>
  <c r="D30" i="21"/>
  <c r="D62" i="21" s="1"/>
  <c r="G51" i="21"/>
  <c r="V60" i="40" l="1"/>
  <c r="V13" i="40"/>
  <c r="V52" i="40"/>
  <c r="W12" i="40"/>
  <c r="W79" i="40" s="1"/>
  <c r="S49" i="9"/>
  <c r="S78" i="9"/>
  <c r="V50" i="40"/>
  <c r="V51" i="40"/>
  <c r="H26" i="9"/>
  <c r="H49" i="44"/>
  <c r="T12" i="9"/>
  <c r="T43" i="44"/>
  <c r="S59" i="9"/>
  <c r="S51" i="9"/>
  <c r="I27" i="21"/>
  <c r="I15" i="44"/>
  <c r="F59" i="40"/>
  <c r="G24" i="40"/>
  <c r="G30" i="40"/>
  <c r="H22" i="9"/>
  <c r="H23" i="9" s="1"/>
  <c r="G29" i="9"/>
  <c r="G61" i="9" s="1"/>
  <c r="H44" i="44" s="1"/>
  <c r="J50" i="9"/>
  <c r="F30" i="21"/>
  <c r="F62" i="21" s="1"/>
  <c r="G8" i="44" s="1"/>
  <c r="W13" i="40" l="1"/>
  <c r="W60" i="40"/>
  <c r="W52" i="40"/>
  <c r="T49" i="9"/>
  <c r="T78" i="9"/>
  <c r="W50" i="40"/>
  <c r="W51" i="40"/>
  <c r="U12" i="9"/>
  <c r="U43" i="44"/>
  <c r="T51" i="9"/>
  <c r="T59" i="9"/>
  <c r="H32" i="9"/>
  <c r="I52" i="44" s="1"/>
  <c r="I50" i="44"/>
  <c r="I26" i="9"/>
  <c r="I49" i="44"/>
  <c r="J27" i="21"/>
  <c r="J15" i="44"/>
  <c r="G106" i="40"/>
  <c r="G62" i="40"/>
  <c r="H51" i="40"/>
  <c r="H23" i="40" s="1"/>
  <c r="G33" i="40"/>
  <c r="H29" i="9"/>
  <c r="H61" i="9" s="1"/>
  <c r="I44" i="44" s="1"/>
  <c r="I22" i="9"/>
  <c r="I23" i="9" s="1"/>
  <c r="J50" i="44" s="1"/>
  <c r="K50" i="9"/>
  <c r="U49" i="9" l="1"/>
  <c r="U78" i="9"/>
  <c r="V43" i="44"/>
  <c r="V12" i="9"/>
  <c r="U59" i="9"/>
  <c r="U51" i="9"/>
  <c r="J49" i="44"/>
  <c r="J26" i="9"/>
  <c r="K27" i="21"/>
  <c r="K15" i="44"/>
  <c r="G59" i="40"/>
  <c r="H24" i="40"/>
  <c r="H30" i="40"/>
  <c r="J22" i="9"/>
  <c r="K22" i="9" s="1"/>
  <c r="I29" i="9"/>
  <c r="I61" i="9" s="1"/>
  <c r="J44" i="44" s="1"/>
  <c r="L50" i="9"/>
  <c r="V49" i="9" l="1"/>
  <c r="V78" i="9"/>
  <c r="H33" i="40"/>
  <c r="K26" i="9"/>
  <c r="K29" i="9" s="1"/>
  <c r="K61" i="9" s="1"/>
  <c r="L44" i="44" s="1"/>
  <c r="K49" i="44"/>
  <c r="V51" i="9"/>
  <c r="W43" i="44"/>
  <c r="W12" i="9"/>
  <c r="V59" i="9"/>
  <c r="L27" i="21"/>
  <c r="L15" i="44"/>
  <c r="H62" i="40"/>
  <c r="I51" i="40"/>
  <c r="I23" i="40" s="1"/>
  <c r="J23" i="9"/>
  <c r="K50" i="44" s="1"/>
  <c r="J29" i="9"/>
  <c r="J61" i="9" s="1"/>
  <c r="K44" i="44" s="1"/>
  <c r="K23" i="9"/>
  <c r="L50" i="44" s="1"/>
  <c r="M50" i="9"/>
  <c r="L22" i="9"/>
  <c r="W49" i="9" l="1"/>
  <c r="W78" i="9"/>
  <c r="X43" i="44"/>
  <c r="W51" i="9"/>
  <c r="W59" i="9"/>
  <c r="L26" i="9"/>
  <c r="L29" i="9" s="1"/>
  <c r="L61" i="9" s="1"/>
  <c r="M44" i="44" s="1"/>
  <c r="L49" i="44"/>
  <c r="M27" i="21"/>
  <c r="M15" i="44"/>
  <c r="H59" i="40"/>
  <c r="I24" i="40"/>
  <c r="I30" i="40"/>
  <c r="M22" i="9"/>
  <c r="N50" i="9"/>
  <c r="L23" i="9"/>
  <c r="M50" i="44" s="1"/>
  <c r="I33" i="40" l="1"/>
  <c r="M26" i="9"/>
  <c r="M29" i="9" s="1"/>
  <c r="M61" i="9" s="1"/>
  <c r="N44" i="44" s="1"/>
  <c r="M49" i="44"/>
  <c r="N27" i="21"/>
  <c r="N15" i="44"/>
  <c r="I62" i="40"/>
  <c r="I59" i="40" s="1"/>
  <c r="J51" i="40"/>
  <c r="J23" i="40" s="1"/>
  <c r="O50" i="9"/>
  <c r="N22" i="9"/>
  <c r="M23" i="9"/>
  <c r="N50" i="44" s="1"/>
  <c r="N26" i="9" l="1"/>
  <c r="N29" i="9" s="1"/>
  <c r="N61" i="9" s="1"/>
  <c r="O44" i="44" s="1"/>
  <c r="N49" i="44"/>
  <c r="O27" i="21"/>
  <c r="O15" i="44"/>
  <c r="J30" i="40"/>
  <c r="J24" i="40"/>
  <c r="O22" i="9"/>
  <c r="P50" i="9"/>
  <c r="N23" i="9"/>
  <c r="O50" i="44" s="1"/>
  <c r="J33" i="40" l="1"/>
  <c r="O26" i="9"/>
  <c r="O49" i="44"/>
  <c r="P27" i="21"/>
  <c r="P15" i="44"/>
  <c r="J62" i="40"/>
  <c r="J59" i="40" s="1"/>
  <c r="K51" i="40"/>
  <c r="K23" i="40" s="1"/>
  <c r="P22" i="9"/>
  <c r="Q50" i="9"/>
  <c r="O23" i="9"/>
  <c r="P50" i="44" s="1"/>
  <c r="O29" i="9"/>
  <c r="O61" i="9" s="1"/>
  <c r="P44" i="44" s="1"/>
  <c r="P26" i="9" l="1"/>
  <c r="P49" i="44"/>
  <c r="Q27" i="21"/>
  <c r="Q15" i="44"/>
  <c r="K30" i="40"/>
  <c r="K24" i="40"/>
  <c r="R50" i="9"/>
  <c r="Q22" i="9"/>
  <c r="P29" i="9"/>
  <c r="P61" i="9" s="1"/>
  <c r="Q44" i="44" s="1"/>
  <c r="P23" i="9"/>
  <c r="Q50" i="44" s="1"/>
  <c r="K33" i="40" l="1"/>
  <c r="Q26" i="9"/>
  <c r="Q49" i="44"/>
  <c r="R27" i="21"/>
  <c r="R15" i="44"/>
  <c r="K62" i="40"/>
  <c r="L51" i="40"/>
  <c r="L23" i="40" s="1"/>
  <c r="S50" i="9"/>
  <c r="R22" i="9"/>
  <c r="Q29" i="9"/>
  <c r="Q61" i="9" s="1"/>
  <c r="R44" i="44" s="1"/>
  <c r="Q23" i="9"/>
  <c r="R50" i="44" s="1"/>
  <c r="R26" i="9" l="1"/>
  <c r="R29" i="9" s="1"/>
  <c r="R61" i="9" s="1"/>
  <c r="S44" i="44" s="1"/>
  <c r="R49" i="44"/>
  <c r="S27" i="21"/>
  <c r="S15" i="44"/>
  <c r="L30" i="40"/>
  <c r="L24" i="40"/>
  <c r="L33" i="40" s="1"/>
  <c r="R23" i="9"/>
  <c r="S50" i="44" s="1"/>
  <c r="T50" i="9"/>
  <c r="S22" i="9"/>
  <c r="S26" i="9" l="1"/>
  <c r="S29" i="9" s="1"/>
  <c r="S61" i="9" s="1"/>
  <c r="T44" i="44" s="1"/>
  <c r="S49" i="44"/>
  <c r="T27" i="21"/>
  <c r="T15" i="44"/>
  <c r="L62" i="40"/>
  <c r="M51" i="40"/>
  <c r="M23" i="40" s="1"/>
  <c r="U50" i="9"/>
  <c r="S23" i="9"/>
  <c r="T50" i="44" s="1"/>
  <c r="T22" i="9"/>
  <c r="T26" i="9" l="1"/>
  <c r="T49" i="44"/>
  <c r="U15" i="44"/>
  <c r="U27" i="21"/>
  <c r="M30" i="40"/>
  <c r="M24" i="40"/>
  <c r="M33" i="40" s="1"/>
  <c r="V50" i="9"/>
  <c r="U22" i="9"/>
  <c r="U23" i="9" s="1"/>
  <c r="V50" i="44" s="1"/>
  <c r="T29" i="9"/>
  <c r="T61" i="9" s="1"/>
  <c r="U44" i="44" s="1"/>
  <c r="T23" i="9"/>
  <c r="U50" i="44" s="1"/>
  <c r="U26" i="9" l="1"/>
  <c r="U49" i="44"/>
  <c r="V27" i="21"/>
  <c r="V15" i="44"/>
  <c r="M62" i="40"/>
  <c r="N51" i="40"/>
  <c r="N23" i="40" s="1"/>
  <c r="O51" i="40"/>
  <c r="V22" i="9"/>
  <c r="V23" i="9" s="1"/>
  <c r="W50" i="44" s="1"/>
  <c r="W50" i="9"/>
  <c r="U29" i="9"/>
  <c r="U61" i="9" s="1"/>
  <c r="V44" i="44" s="1"/>
  <c r="V26" i="9" l="1"/>
  <c r="V29" i="9" s="1"/>
  <c r="V61" i="9" s="1"/>
  <c r="W44" i="44" s="1"/>
  <c r="V49" i="44"/>
  <c r="W27" i="21"/>
  <c r="X15" i="44" s="1"/>
  <c r="W15" i="44"/>
  <c r="O23" i="40"/>
  <c r="N24" i="40"/>
  <c r="N33" i="40" s="1"/>
  <c r="N30" i="40"/>
  <c r="N62" i="40" s="1"/>
  <c r="W22" i="9"/>
  <c r="W23" i="9" s="1"/>
  <c r="X50" i="44" s="1"/>
  <c r="W26" i="9" l="1"/>
  <c r="X49" i="44" s="1"/>
  <c r="W49" i="44"/>
  <c r="O24" i="40"/>
  <c r="O33" i="40" s="1"/>
  <c r="P23" i="40"/>
  <c r="O30" i="40"/>
  <c r="O62" i="40" s="1"/>
  <c r="W29" i="9" l="1"/>
  <c r="W61" i="9" s="1"/>
  <c r="X44" i="44" s="1"/>
  <c r="P30" i="40"/>
  <c r="P62" i="40" s="1"/>
  <c r="Q23" i="40"/>
  <c r="P24" i="40"/>
  <c r="P33" i="40" s="1"/>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24" i="40" l="1"/>
  <c r="Q33" i="40" s="1"/>
  <c r="Q30" i="40"/>
  <c r="Q62" i="40" s="1"/>
  <c r="R23" i="40"/>
  <c r="Q73" i="2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S23" i="40" l="1"/>
  <c r="R24" i="40"/>
  <c r="R33" i="40" s="1"/>
  <c r="R30" i="40"/>
  <c r="R62" i="40" s="1"/>
  <c r="S24" i="40" l="1"/>
  <c r="S33" i="40" s="1"/>
  <c r="T23" i="40"/>
  <c r="S30" i="40"/>
  <c r="S62" i="40" s="1"/>
  <c r="F72" i="21"/>
  <c r="G14" i="44" s="1"/>
  <c r="E71" i="9"/>
  <c r="E72" i="21"/>
  <c r="F14" i="44" s="1"/>
  <c r="D72" i="21"/>
  <c r="U23" i="40" l="1"/>
  <c r="T24" i="40"/>
  <c r="T30" i="40"/>
  <c r="T62" i="40" s="1"/>
  <c r="C20" i="8"/>
  <c r="W20" i="8"/>
  <c r="D20" i="8"/>
  <c r="U20" i="8"/>
  <c r="J20" i="8"/>
  <c r="T20" i="8"/>
  <c r="S20" i="8"/>
  <c r="D15" i="21"/>
  <c r="D73" i="21" s="1"/>
  <c r="D74" i="21" s="1"/>
  <c r="D14" i="9"/>
  <c r="D72" i="9" s="1"/>
  <c r="D73" i="9" s="1"/>
  <c r="Q20" i="8"/>
  <c r="J18" i="9"/>
  <c r="J64" i="9"/>
  <c r="J19" i="21"/>
  <c r="N20" i="8"/>
  <c r="M20" i="8"/>
  <c r="N32" i="9"/>
  <c r="O52" i="44" s="1"/>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E42" i="21"/>
  <c r="F17" i="44" s="1"/>
  <c r="C41" i="9"/>
  <c r="C101" i="9" s="1"/>
  <c r="C42" i="21"/>
  <c r="C103" i="21" s="1"/>
  <c r="O20" i="8"/>
  <c r="D42" i="21"/>
  <c r="D103" i="21" s="1"/>
  <c r="D41" i="9"/>
  <c r="D101" i="9" s="1"/>
  <c r="V65" i="21"/>
  <c r="V64" i="9"/>
  <c r="V19" i="21"/>
  <c r="V18" i="9"/>
  <c r="T33" i="40" l="1"/>
  <c r="F101" i="9"/>
  <c r="G51" i="44"/>
  <c r="E101" i="9"/>
  <c r="F51" i="44"/>
  <c r="F33" i="21"/>
  <c r="G18" i="44" s="1"/>
  <c r="G17" i="44"/>
  <c r="E63" i="21"/>
  <c r="E59" i="21" s="1"/>
  <c r="F9" i="44"/>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8" i="40"/>
  <c r="P18" i="40"/>
  <c r="P64" i="40"/>
  <c r="P59" i="40" s="1"/>
  <c r="O18" i="40"/>
  <c r="O64" i="40"/>
  <c r="O59" i="40" s="1"/>
  <c r="Q18" i="40"/>
  <c r="Q64" i="40"/>
  <c r="Q59" i="40" s="1"/>
  <c r="W18" i="40"/>
  <c r="W64" i="40"/>
  <c r="C18" i="40"/>
  <c r="H63" i="9"/>
  <c r="H58" i="9" s="1"/>
  <c r="K64" i="21"/>
  <c r="M64" i="21"/>
  <c r="N64" i="21"/>
  <c r="R64" i="21"/>
  <c r="L64" i="21"/>
  <c r="V64" i="21"/>
  <c r="S18" i="21"/>
  <c r="S64" i="21"/>
  <c r="T64" i="21"/>
  <c r="U64" i="21"/>
  <c r="P64" i="21"/>
  <c r="O64" i="21"/>
  <c r="Q64" i="21"/>
  <c r="W64" i="21"/>
  <c r="U17" i="9"/>
  <c r="G63" i="9"/>
  <c r="G58" i="9" s="1"/>
  <c r="C18" i="21"/>
  <c r="C17" i="9"/>
  <c r="W17" i="9"/>
  <c r="T17" i="9"/>
  <c r="S63" i="9"/>
  <c r="S58" i="9" s="1"/>
  <c r="T18" i="21"/>
  <c r="S17" i="9"/>
  <c r="J17" i="9"/>
  <c r="D17" i="9"/>
  <c r="D18" i="21"/>
  <c r="U18" i="21"/>
  <c r="W18" i="21"/>
  <c r="W63" i="9"/>
  <c r="W58" i="9" s="1"/>
  <c r="T63" i="9"/>
  <c r="T58" i="9" s="1"/>
  <c r="E32" i="9"/>
  <c r="F52" i="44" s="1"/>
  <c r="O63" i="9"/>
  <c r="O58" i="9" s="1"/>
  <c r="F17" i="9"/>
  <c r="F18" i="21"/>
  <c r="L18" i="21"/>
  <c r="L17" i="9"/>
  <c r="L63" i="9"/>
  <c r="L58" i="9" s="1"/>
  <c r="V42" i="21"/>
  <c r="V32" i="9"/>
  <c r="W52" i="44" s="1"/>
  <c r="O32" i="9"/>
  <c r="P52" i="44" s="1"/>
  <c r="D33" i="21"/>
  <c r="D69" i="21" s="1"/>
  <c r="R42" i="21"/>
  <c r="R32" i="9"/>
  <c r="S52" i="44" s="1"/>
  <c r="W42" i="21"/>
  <c r="W32" i="9"/>
  <c r="X52" i="44" s="1"/>
  <c r="V18" i="21"/>
  <c r="V17" i="9"/>
  <c r="V63" i="9"/>
  <c r="V58" i="9" s="1"/>
  <c r="C33" i="21"/>
  <c r="F32" i="9"/>
  <c r="G52" i="44" s="1"/>
  <c r="C90" i="21"/>
  <c r="D70" i="21"/>
  <c r="S42" i="21"/>
  <c r="S32" i="9"/>
  <c r="T52" i="44" s="1"/>
  <c r="P18" i="21"/>
  <c r="P63" i="9"/>
  <c r="P58" i="9" s="1"/>
  <c r="P17" i="9"/>
  <c r="I18" i="21"/>
  <c r="I17" i="9"/>
  <c r="I63" i="9"/>
  <c r="I58" i="9" s="1"/>
  <c r="U42" i="21"/>
  <c r="U32" i="9"/>
  <c r="V52" i="44" s="1"/>
  <c r="M17" i="9"/>
  <c r="M63" i="9"/>
  <c r="M58" i="9" s="1"/>
  <c r="M18" i="21"/>
  <c r="J63" i="9"/>
  <c r="J58" i="9" s="1"/>
  <c r="C32" i="9"/>
  <c r="C87" i="9"/>
  <c r="D69" i="9"/>
  <c r="R18" i="21"/>
  <c r="R17" i="9"/>
  <c r="R63" i="9"/>
  <c r="R58" i="9" s="1"/>
  <c r="Q32" i="9"/>
  <c r="R52" i="44" s="1"/>
  <c r="Q42" i="21"/>
  <c r="N63" i="9"/>
  <c r="N58" i="9" s="1"/>
  <c r="N17" i="9"/>
  <c r="N18" i="21"/>
  <c r="U63" i="9"/>
  <c r="U58" i="9" s="1"/>
  <c r="Q63" i="9"/>
  <c r="Q58" i="9" s="1"/>
  <c r="Q17" i="9"/>
  <c r="Q18" i="21"/>
  <c r="D32" i="9"/>
  <c r="D68" i="9" s="1"/>
  <c r="O17" i="9"/>
  <c r="O18" i="21"/>
  <c r="E33" i="21"/>
  <c r="F18" i="44" s="1"/>
  <c r="H17" i="9"/>
  <c r="H18" i="21"/>
  <c r="G17" i="9"/>
  <c r="G18" i="21"/>
  <c r="P42" i="21"/>
  <c r="P32" i="9"/>
  <c r="Q52" i="44" s="1"/>
  <c r="K63" i="9"/>
  <c r="K58" i="9" s="1"/>
  <c r="K17" i="9"/>
  <c r="K18" i="21"/>
  <c r="E18" i="21"/>
  <c r="E17" i="9"/>
  <c r="T32" i="9"/>
  <c r="U52" i="44" s="1"/>
  <c r="T42" i="21"/>
  <c r="X17" i="44" l="1"/>
  <c r="Q17" i="44"/>
  <c r="R17" i="44"/>
  <c r="V17" i="44"/>
  <c r="S17" i="44"/>
  <c r="W17" i="44"/>
  <c r="U17" i="44"/>
  <c r="T17" i="44"/>
  <c r="K59" i="40"/>
  <c r="U59" i="40"/>
  <c r="W23" i="40"/>
  <c r="V24" i="40"/>
  <c r="V33" i="40" s="1"/>
  <c r="V30" i="40"/>
  <c r="V62" i="40" s="1"/>
  <c r="V59" i="40" s="1"/>
  <c r="D68" i="21"/>
  <c r="D67" i="9"/>
  <c r="D66" i="9" s="1"/>
  <c r="L32" i="9"/>
  <c r="M52" i="44" s="1"/>
  <c r="L42" i="21"/>
  <c r="Q38" i="21"/>
  <c r="R12" i="44" s="1"/>
  <c r="R37" i="21"/>
  <c r="S11" i="44" s="1"/>
  <c r="K42" i="21"/>
  <c r="K32" i="9"/>
  <c r="L52" i="44" s="1"/>
  <c r="U37" i="21"/>
  <c r="V11" i="44" s="1"/>
  <c r="J42" i="21"/>
  <c r="J32" i="9"/>
  <c r="K52" i="44" s="1"/>
  <c r="W38" i="21"/>
  <c r="X12" i="44" s="1"/>
  <c r="S37" i="21"/>
  <c r="T11" i="44" s="1"/>
  <c r="V38" i="21"/>
  <c r="W12" i="44" s="1"/>
  <c r="U38" i="21"/>
  <c r="V12" i="44" s="1"/>
  <c r="V37" i="21"/>
  <c r="W11" i="44" s="1"/>
  <c r="M42" i="21"/>
  <c r="M32" i="9"/>
  <c r="N52" i="44" s="1"/>
  <c r="T38" i="21"/>
  <c r="U12" i="44" s="1"/>
  <c r="R38" i="21"/>
  <c r="S12" i="44" s="1"/>
  <c r="T37" i="21"/>
  <c r="U11" i="44" s="1"/>
  <c r="I32" i="9"/>
  <c r="J52" i="44" s="1"/>
  <c r="I42" i="21"/>
  <c r="S38" i="21"/>
  <c r="T12" i="44" s="1"/>
  <c r="P38" i="21"/>
  <c r="Q12" i="44" s="1"/>
  <c r="W37" i="21"/>
  <c r="X11" i="44" s="1"/>
  <c r="D71" i="40" l="1"/>
  <c r="D67" i="40" s="1"/>
  <c r="D58" i="40" s="1"/>
  <c r="D57" i="40" s="1"/>
  <c r="D71" i="21"/>
  <c r="D67" i="21" s="1"/>
  <c r="D58" i="21" s="1"/>
  <c r="D57" i="21" s="1"/>
  <c r="J17" i="44"/>
  <c r="K17" i="44"/>
  <c r="L17" i="44"/>
  <c r="N17" i="44"/>
  <c r="M17" i="44"/>
  <c r="W30" i="40"/>
  <c r="W62" i="40" s="1"/>
  <c r="W24" i="40"/>
  <c r="D77" i="21"/>
  <c r="D78" i="21"/>
  <c r="D76" i="9"/>
  <c r="D77" i="9"/>
  <c r="E68" i="40" l="1"/>
  <c r="E69" i="40"/>
  <c r="D92" i="40"/>
  <c r="E70" i="40"/>
  <c r="W33" i="40"/>
  <c r="W59" i="40"/>
  <c r="D57" i="9"/>
  <c r="D56" i="9" s="1"/>
  <c r="E68" i="21"/>
  <c r="E69" i="21"/>
  <c r="E70" i="21"/>
  <c r="D90" i="21"/>
  <c r="D95" i="40" l="1"/>
  <c r="D93" i="40"/>
  <c r="D87" i="40"/>
  <c r="D88" i="40" s="1"/>
  <c r="D94" i="40"/>
  <c r="D96" i="40"/>
  <c r="D97" i="40"/>
  <c r="E77" i="40"/>
  <c r="E78" i="40"/>
  <c r="F10" i="44"/>
  <c r="D85" i="21"/>
  <c r="D86" i="21" s="1"/>
  <c r="D87" i="9"/>
  <c r="E68" i="9"/>
  <c r="E67" i="9"/>
  <c r="E69" i="9"/>
  <c r="D92" i="21"/>
  <c r="D95" i="21"/>
  <c r="D94" i="21"/>
  <c r="D91" i="21"/>
  <c r="D93" i="21"/>
  <c r="E77" i="21"/>
  <c r="E78" i="21"/>
  <c r="F6" i="44" l="1"/>
  <c r="E102" i="40"/>
  <c r="E103" i="40" s="1"/>
  <c r="F45" i="44"/>
  <c r="E100" i="21"/>
  <c r="E101" i="21" s="1"/>
  <c r="E76" i="9"/>
  <c r="E77" i="9"/>
  <c r="D88" i="9"/>
  <c r="D89" i="9"/>
  <c r="D90" i="9"/>
  <c r="D92" i="9"/>
  <c r="D91" i="9"/>
  <c r="D83" i="9"/>
  <c r="D84" i="9" s="1"/>
  <c r="E66" i="9" l="1"/>
  <c r="E57" i="9" s="1"/>
  <c r="E56" i="9" s="1"/>
  <c r="E71" i="21"/>
  <c r="E67" i="21" s="1"/>
  <c r="E58" i="21" s="1"/>
  <c r="E57" i="21" s="1"/>
  <c r="E71" i="40"/>
  <c r="E67" i="40" s="1"/>
  <c r="E58" i="40" s="1"/>
  <c r="E57" i="40" s="1"/>
  <c r="F42" i="44"/>
  <c r="D94" i="9"/>
  <c r="E97" i="9"/>
  <c r="F41" i="44" l="1"/>
  <c r="E87" i="9"/>
  <c r="F67" i="9"/>
  <c r="F76" i="9" s="1"/>
  <c r="F68" i="9"/>
  <c r="F69" i="9"/>
  <c r="F68" i="40"/>
  <c r="F69" i="40"/>
  <c r="F70" i="40"/>
  <c r="E92" i="40"/>
  <c r="F5" i="44"/>
  <c r="F68" i="21"/>
  <c r="F69" i="21"/>
  <c r="F70" i="21"/>
  <c r="E90" i="21"/>
  <c r="G45" i="44"/>
  <c r="E83" i="9"/>
  <c r="E92" i="9" s="1"/>
  <c r="D99" i="40"/>
  <c r="D97" i="21"/>
  <c r="D93" i="9"/>
  <c r="F77" i="9" l="1"/>
  <c r="E87" i="40"/>
  <c r="E97" i="40" s="1"/>
  <c r="E85" i="21"/>
  <c r="E94" i="21" s="1"/>
  <c r="G10" i="44"/>
  <c r="F77" i="40"/>
  <c r="F78" i="40"/>
  <c r="G42" i="44"/>
  <c r="E91" i="9"/>
  <c r="E84" i="9"/>
  <c r="E89" i="9" s="1"/>
  <c r="D98" i="40"/>
  <c r="D96" i="21"/>
  <c r="F71" i="40" l="1"/>
  <c r="F67" i="40" s="1"/>
  <c r="F58" i="40" s="1"/>
  <c r="F57" i="40" s="1"/>
  <c r="F71" i="21"/>
  <c r="F67" i="21" s="1"/>
  <c r="F66" i="9"/>
  <c r="F57" i="9" s="1"/>
  <c r="F56" i="9" s="1"/>
  <c r="E88" i="40"/>
  <c r="E94" i="40" s="1"/>
  <c r="E96" i="40"/>
  <c r="E95" i="21"/>
  <c r="G69" i="40"/>
  <c r="G70" i="40"/>
  <c r="F92" i="40"/>
  <c r="G68" i="40"/>
  <c r="E86" i="21"/>
  <c r="E93" i="21" s="1"/>
  <c r="E90" i="9"/>
  <c r="E88" i="9" s="1"/>
  <c r="E93" i="9" s="1"/>
  <c r="G41" i="44"/>
  <c r="E95" i="40"/>
  <c r="F99" i="21"/>
  <c r="G67" i="9" l="1"/>
  <c r="G71" i="40" s="1"/>
  <c r="G67" i="40" s="1"/>
  <c r="G58" i="40" s="1"/>
  <c r="G57" i="40" s="1"/>
  <c r="G69" i="9"/>
  <c r="G68" i="9"/>
  <c r="F87" i="9"/>
  <c r="E92" i="21"/>
  <c r="E91" i="21" s="1"/>
  <c r="F61" i="44"/>
  <c r="F103" i="21"/>
  <c r="G78" i="40"/>
  <c r="G26" i="35" s="1"/>
  <c r="G77" i="40"/>
  <c r="F87" i="40"/>
  <c r="F96" i="40" s="1"/>
  <c r="E93" i="40"/>
  <c r="E99" i="40" s="1"/>
  <c r="F97" i="9"/>
  <c r="E94" i="9"/>
  <c r="G77" i="9"/>
  <c r="H45" i="44" l="1"/>
  <c r="G76" i="9"/>
  <c r="H42" i="44" s="1"/>
  <c r="G71" i="21"/>
  <c r="G66" i="9"/>
  <c r="G57" i="9" s="1"/>
  <c r="G56" i="9" s="1"/>
  <c r="F100" i="21"/>
  <c r="F101" i="21" s="1"/>
  <c r="F58" i="44"/>
  <c r="F60" i="44"/>
  <c r="F59" i="44"/>
  <c r="H70" i="40"/>
  <c r="H69" i="40"/>
  <c r="G92" i="40"/>
  <c r="F97" i="40"/>
  <c r="E98" i="40"/>
  <c r="F88" i="40" s="1"/>
  <c r="F95" i="40" s="1"/>
  <c r="F102" i="40"/>
  <c r="F103" i="40" s="1"/>
  <c r="E96" i="21"/>
  <c r="F62" i="44" s="1"/>
  <c r="E97" i="21"/>
  <c r="F83" i="9"/>
  <c r="F94" i="40" l="1"/>
  <c r="F93" i="40" s="1"/>
  <c r="G87" i="40"/>
  <c r="G97" i="40" s="1"/>
  <c r="G87" i="9"/>
  <c r="H41" i="44"/>
  <c r="H69" i="9"/>
  <c r="H68" i="9"/>
  <c r="F91" i="9"/>
  <c r="F84" i="9"/>
  <c r="F89" i="9" s="1"/>
  <c r="F92" i="9"/>
  <c r="F99" i="40" l="1"/>
  <c r="F98" i="40"/>
  <c r="G102" i="40"/>
  <c r="G103" i="40" s="1"/>
  <c r="G96" i="40"/>
  <c r="F90" i="9"/>
  <c r="F88" i="9" s="1"/>
  <c r="G88" i="40" l="1"/>
  <c r="F94" i="9"/>
  <c r="G99" i="21"/>
  <c r="G94" i="40" l="1"/>
  <c r="G95" i="40"/>
  <c r="F93" i="9"/>
  <c r="G97" i="9"/>
  <c r="G83" i="9"/>
  <c r="G91" i="9" s="1"/>
  <c r="G93" i="40" l="1"/>
  <c r="G92" i="9"/>
  <c r="G84" i="9"/>
  <c r="G90" i="9" s="1"/>
  <c r="E99" i="21"/>
  <c r="E103" i="21" s="1"/>
  <c r="H102" i="40" l="1"/>
  <c r="H103" i="40" s="1"/>
  <c r="H101" i="40" s="1"/>
  <c r="G98" i="40"/>
  <c r="G99" i="40"/>
  <c r="G89" i="9"/>
  <c r="H36" i="40" l="1"/>
  <c r="H68" i="40" s="1"/>
  <c r="H67" i="40" s="1"/>
  <c r="H58" i="40" s="1"/>
  <c r="H57" i="40" s="1"/>
  <c r="H106" i="40"/>
  <c r="H92" i="40" s="1"/>
  <c r="G88" i="9"/>
  <c r="F78" i="21"/>
  <c r="G12" i="21" s="1"/>
  <c r="F59" i="21"/>
  <c r="F77" i="21" s="1"/>
  <c r="G79" i="21" l="1"/>
  <c r="H77" i="40"/>
  <c r="H78" i="40"/>
  <c r="H26" i="35" s="1"/>
  <c r="I70" i="40"/>
  <c r="I69" i="40"/>
  <c r="H87" i="40"/>
  <c r="H88" i="40" s="1"/>
  <c r="H94" i="40" s="1"/>
  <c r="G6" i="44"/>
  <c r="G93" i="9"/>
  <c r="G94" i="9"/>
  <c r="H97" i="9"/>
  <c r="H98" i="9" s="1"/>
  <c r="F58" i="21"/>
  <c r="F57" i="21" s="1"/>
  <c r="H96" i="40" l="1"/>
  <c r="H95" i="40"/>
  <c r="H93" i="40" s="1"/>
  <c r="H97" i="40"/>
  <c r="G5" i="44"/>
  <c r="H7" i="44"/>
  <c r="G50" i="21"/>
  <c r="G13" i="21"/>
  <c r="G18" i="35"/>
  <c r="F90" i="21"/>
  <c r="G70" i="21"/>
  <c r="H98" i="40" l="1"/>
  <c r="H99" i="40"/>
  <c r="I102" i="40"/>
  <c r="I103" i="40" s="1"/>
  <c r="I101" i="40" s="1"/>
  <c r="F85" i="21"/>
  <c r="F86" i="21" s="1"/>
  <c r="G60" i="21"/>
  <c r="G52" i="21"/>
  <c r="I106" i="40" l="1"/>
  <c r="I92" i="40" s="1"/>
  <c r="I36" i="40"/>
  <c r="I68" i="40" s="1"/>
  <c r="F92" i="21"/>
  <c r="F93" i="21"/>
  <c r="F95" i="21"/>
  <c r="F94" i="21"/>
  <c r="G23" i="21"/>
  <c r="G24" i="21" s="1"/>
  <c r="I67" i="40" l="1"/>
  <c r="I58" i="40" s="1"/>
  <c r="I57" i="40" s="1"/>
  <c r="I78" i="40"/>
  <c r="I26" i="35" s="1"/>
  <c r="I77" i="40"/>
  <c r="I87" i="40"/>
  <c r="I88" i="40" s="1"/>
  <c r="I94" i="40" s="1"/>
  <c r="G61" i="44"/>
  <c r="H16" i="44"/>
  <c r="G103" i="21"/>
  <c r="F91" i="21"/>
  <c r="G30" i="21"/>
  <c r="G62" i="21" s="1"/>
  <c r="G33" i="21"/>
  <c r="G59" i="44" l="1"/>
  <c r="G58" i="44"/>
  <c r="I97" i="40"/>
  <c r="I95" i="40"/>
  <c r="I96" i="40"/>
  <c r="J70" i="40"/>
  <c r="J69" i="40"/>
  <c r="G60" i="44"/>
  <c r="G68" i="21"/>
  <c r="H10" i="44" s="1"/>
  <c r="H18" i="44"/>
  <c r="G59" i="21"/>
  <c r="H8" i="44"/>
  <c r="G100" i="21"/>
  <c r="G101" i="21" s="1"/>
  <c r="F97" i="21"/>
  <c r="F96" i="21"/>
  <c r="G62" i="44" s="1"/>
  <c r="H51" i="21"/>
  <c r="G69" i="21"/>
  <c r="I93" i="40" l="1"/>
  <c r="I98" i="40" s="1"/>
  <c r="G77" i="21"/>
  <c r="G78" i="21"/>
  <c r="H12" i="21" s="1"/>
  <c r="G67" i="21"/>
  <c r="G58" i="21" s="1"/>
  <c r="G57" i="21" s="1"/>
  <c r="H79" i="21" l="1"/>
  <c r="H6" i="44"/>
  <c r="J102" i="40"/>
  <c r="J103" i="40" s="1"/>
  <c r="J101" i="40" s="1"/>
  <c r="I99" i="40"/>
  <c r="G19" i="35"/>
  <c r="H5" i="44"/>
  <c r="H70" i="21"/>
  <c r="G90" i="21"/>
  <c r="H13" i="21" l="1"/>
  <c r="J36" i="40"/>
  <c r="J68" i="40" s="1"/>
  <c r="J106" i="40"/>
  <c r="J92" i="40" s="1"/>
  <c r="H18" i="35"/>
  <c r="I7" i="44"/>
  <c r="H50" i="21"/>
  <c r="G85" i="21"/>
  <c r="G86" i="21" s="1"/>
  <c r="H60" i="21"/>
  <c r="H52" i="21"/>
  <c r="J87" i="40" l="1"/>
  <c r="J88" i="40" s="1"/>
  <c r="J95" i="40" s="1"/>
  <c r="J78" i="40"/>
  <c r="J26" i="35" s="1"/>
  <c r="J67" i="40"/>
  <c r="J58" i="40" s="1"/>
  <c r="J57" i="40" s="1"/>
  <c r="J77" i="40"/>
  <c r="H23" i="21"/>
  <c r="H24" i="21" s="1"/>
  <c r="G94" i="21"/>
  <c r="G92" i="21"/>
  <c r="G95" i="21"/>
  <c r="G93" i="21"/>
  <c r="J94" i="40" l="1"/>
  <c r="J93" i="40" s="1"/>
  <c r="J97" i="40"/>
  <c r="J96" i="40"/>
  <c r="K70" i="40"/>
  <c r="K69" i="40"/>
  <c r="H30" i="21"/>
  <c r="H62" i="21" s="1"/>
  <c r="H61" i="44"/>
  <c r="G91" i="21"/>
  <c r="I16" i="44"/>
  <c r="H33" i="21"/>
  <c r="I18" i="44" s="1"/>
  <c r="H59" i="44" l="1"/>
  <c r="H58" i="44"/>
  <c r="K102" i="40"/>
  <c r="K103" i="40" s="1"/>
  <c r="K101" i="40" s="1"/>
  <c r="K106" i="40" s="1"/>
  <c r="K92" i="40" s="1"/>
  <c r="I51" i="21"/>
  <c r="J98" i="40"/>
  <c r="J99" i="40"/>
  <c r="H100" i="21"/>
  <c r="H101" i="21" s="1"/>
  <c r="H99" i="21" s="1"/>
  <c r="G97" i="21"/>
  <c r="G96" i="21"/>
  <c r="H62" i="44" s="1"/>
  <c r="H60" i="44"/>
  <c r="H59" i="21"/>
  <c r="I8" i="44"/>
  <c r="H69" i="21"/>
  <c r="K36" i="40" l="1"/>
  <c r="K68" i="40" s="1"/>
  <c r="K77" i="40" s="1"/>
  <c r="H36" i="21"/>
  <c r="K87" i="40"/>
  <c r="K88" i="40" s="1"/>
  <c r="K94" i="40" s="1"/>
  <c r="H103" i="21"/>
  <c r="H90" i="21" s="1"/>
  <c r="K78" i="40" l="1"/>
  <c r="K26" i="35" s="1"/>
  <c r="K67" i="40"/>
  <c r="K58" i="40" s="1"/>
  <c r="K57" i="40" s="1"/>
  <c r="H68" i="21"/>
  <c r="H77" i="21" s="1"/>
  <c r="I13" i="44"/>
  <c r="K95" i="40"/>
  <c r="K93" i="40" s="1"/>
  <c r="K96" i="40"/>
  <c r="K97" i="40"/>
  <c r="H85" i="21"/>
  <c r="H86" i="21" s="1"/>
  <c r="H93" i="21" s="1"/>
  <c r="H67" i="21" l="1"/>
  <c r="H58" i="21" s="1"/>
  <c r="H57" i="21" s="1"/>
  <c r="H78" i="21"/>
  <c r="I12" i="21" s="1"/>
  <c r="I10" i="44"/>
  <c r="L69" i="40"/>
  <c r="K83" i="40"/>
  <c r="L70" i="40"/>
  <c r="H95" i="21"/>
  <c r="H94" i="21"/>
  <c r="I61" i="44" s="1"/>
  <c r="H92" i="21"/>
  <c r="H91" i="21" s="1"/>
  <c r="K98" i="40"/>
  <c r="L102" i="40"/>
  <c r="L103" i="40" s="1"/>
  <c r="L101" i="40" s="1"/>
  <c r="K99" i="40"/>
  <c r="I6" i="44"/>
  <c r="I5" i="44" l="1"/>
  <c r="I70" i="21"/>
  <c r="I79" i="21"/>
  <c r="H19" i="35"/>
  <c r="H97" i="21"/>
  <c r="I58" i="44"/>
  <c r="L106" i="40"/>
  <c r="L92" i="40" s="1"/>
  <c r="L87" i="40" s="1"/>
  <c r="L88" i="40" s="1"/>
  <c r="L94" i="40" s="1"/>
  <c r="L36" i="40"/>
  <c r="L68" i="40" s="1"/>
  <c r="I60" i="44"/>
  <c r="I59" i="44"/>
  <c r="J7" i="44"/>
  <c r="I100" i="21"/>
  <c r="I101" i="21" s="1"/>
  <c r="I99" i="21" s="1"/>
  <c r="H96" i="21"/>
  <c r="I62" i="44" s="1"/>
  <c r="I60" i="21" l="1"/>
  <c r="I13" i="21"/>
  <c r="I50" i="21"/>
  <c r="I52" i="21"/>
  <c r="I18" i="35"/>
  <c r="L96" i="40"/>
  <c r="L97" i="40"/>
  <c r="L77" i="40"/>
  <c r="L78" i="40"/>
  <c r="L26" i="35" s="1"/>
  <c r="L67" i="40"/>
  <c r="L58" i="40" s="1"/>
  <c r="L57" i="40" s="1"/>
  <c r="L95" i="40"/>
  <c r="L93" i="40" s="1"/>
  <c r="I36" i="21"/>
  <c r="I23" i="21" l="1"/>
  <c r="I30" i="21" s="1"/>
  <c r="J51" i="21" s="1"/>
  <c r="J13" i="44"/>
  <c r="L83" i="40"/>
  <c r="M69" i="40"/>
  <c r="M70" i="40"/>
  <c r="M102" i="40"/>
  <c r="M103" i="40" s="1"/>
  <c r="M101" i="40" s="1"/>
  <c r="L99" i="40"/>
  <c r="L98" i="40"/>
  <c r="I24" i="21" l="1"/>
  <c r="I62" i="21"/>
  <c r="J8" i="44" s="1"/>
  <c r="M106" i="40"/>
  <c r="M92" i="40" s="1"/>
  <c r="M36" i="40"/>
  <c r="I33" i="21" l="1"/>
  <c r="I103" i="21"/>
  <c r="I90" i="21" s="1"/>
  <c r="J16" i="44"/>
  <c r="I59" i="21"/>
  <c r="I69" i="21"/>
  <c r="M68" i="40"/>
  <c r="M78" i="40" s="1"/>
  <c r="M26" i="35" s="1"/>
  <c r="M87" i="40"/>
  <c r="M88" i="40" s="1"/>
  <c r="I68" i="21" l="1"/>
  <c r="I67" i="21" s="1"/>
  <c r="I58" i="21" s="1"/>
  <c r="I57" i="21" s="1"/>
  <c r="J18" i="44"/>
  <c r="I85" i="21"/>
  <c r="I86" i="21" s="1"/>
  <c r="I92" i="21" s="1"/>
  <c r="M67" i="40"/>
  <c r="M58" i="40" s="1"/>
  <c r="M57" i="40" s="1"/>
  <c r="N70" i="40" s="1"/>
  <c r="M77" i="40"/>
  <c r="M95" i="40"/>
  <c r="M94" i="40"/>
  <c r="M97" i="40"/>
  <c r="M96" i="40"/>
  <c r="I95" i="21" l="1"/>
  <c r="J5" i="44"/>
  <c r="I94" i="21"/>
  <c r="J61" i="44" s="1"/>
  <c r="I78" i="21"/>
  <c r="J12" i="21" s="1"/>
  <c r="J10" i="44"/>
  <c r="J70" i="21"/>
  <c r="I93" i="21"/>
  <c r="I91" i="21" s="1"/>
  <c r="I77" i="21"/>
  <c r="J58" i="44"/>
  <c r="J59" i="44"/>
  <c r="N69" i="40"/>
  <c r="M83" i="40"/>
  <c r="M93" i="40"/>
  <c r="M99" i="40" s="1"/>
  <c r="J60" i="44" l="1"/>
  <c r="I97" i="21"/>
  <c r="J100" i="21"/>
  <c r="J101" i="21" s="1"/>
  <c r="J99" i="21" s="1"/>
  <c r="J36" i="21" s="1"/>
  <c r="J6" i="44"/>
  <c r="I19" i="35"/>
  <c r="I96" i="21"/>
  <c r="J62" i="44" s="1"/>
  <c r="K13" i="44"/>
  <c r="N102" i="40"/>
  <c r="N103" i="40" s="1"/>
  <c r="N101" i="40" s="1"/>
  <c r="N106" i="40" s="1"/>
  <c r="N92" i="40" s="1"/>
  <c r="M98" i="40"/>
  <c r="J18" i="35" l="1"/>
  <c r="N36" i="40"/>
  <c r="N87" i="40"/>
  <c r="K7" i="44" l="1"/>
  <c r="J13" i="21"/>
  <c r="J60" i="21"/>
  <c r="J52" i="21"/>
  <c r="J20" i="35"/>
  <c r="J50" i="21"/>
  <c r="J79" i="21"/>
  <c r="N68" i="40"/>
  <c r="N77" i="40" s="1"/>
  <c r="N97" i="40"/>
  <c r="N96" i="40"/>
  <c r="N88" i="40"/>
  <c r="N94" i="40" s="1"/>
  <c r="J23" i="21" l="1"/>
  <c r="J24" i="21" s="1"/>
  <c r="K16" i="44"/>
  <c r="N67" i="40"/>
  <c r="N58" i="40" s="1"/>
  <c r="N57" i="40" s="1"/>
  <c r="N83" i="40" s="1"/>
  <c r="N78" i="40"/>
  <c r="N95" i="40"/>
  <c r="J30" i="21" l="1"/>
  <c r="K51" i="21" s="1"/>
  <c r="J103" i="21"/>
  <c r="J33" i="21"/>
  <c r="K18" i="44" s="1"/>
  <c r="O70" i="40"/>
  <c r="O69" i="40"/>
  <c r="N93" i="40"/>
  <c r="O102" i="40" s="1"/>
  <c r="O103" i="40" s="1"/>
  <c r="O101" i="40" s="1"/>
  <c r="O106" i="40" s="1"/>
  <c r="O92" i="40" s="1"/>
  <c r="J62" i="21" l="1"/>
  <c r="J90" i="21" s="1"/>
  <c r="J85" i="21" s="1"/>
  <c r="J86" i="21" s="1"/>
  <c r="J69" i="21"/>
  <c r="J68" i="21"/>
  <c r="K10" i="44" s="1"/>
  <c r="K8" i="44"/>
  <c r="N98" i="40"/>
  <c r="N99" i="40"/>
  <c r="O36" i="40"/>
  <c r="O68" i="40" s="1"/>
  <c r="O78" i="40" s="1"/>
  <c r="O87" i="40"/>
  <c r="J59" i="21" l="1"/>
  <c r="J77" i="21" s="1"/>
  <c r="J78" i="21"/>
  <c r="K12" i="21" s="1"/>
  <c r="J67" i="21"/>
  <c r="J92" i="21"/>
  <c r="J93" i="21"/>
  <c r="J95" i="21"/>
  <c r="J94" i="21"/>
  <c r="K61" i="44" s="1"/>
  <c r="O77" i="40"/>
  <c r="O67" i="40"/>
  <c r="O58" i="40" s="1"/>
  <c r="O57" i="40" s="1"/>
  <c r="O83" i="40" s="1"/>
  <c r="O88" i="40"/>
  <c r="O95" i="40" s="1"/>
  <c r="O97" i="40"/>
  <c r="O96" i="40"/>
  <c r="K6" i="44" l="1"/>
  <c r="J58" i="21"/>
  <c r="J57" i="21" s="1"/>
  <c r="K5" i="44"/>
  <c r="J19" i="35"/>
  <c r="K70" i="21"/>
  <c r="J91" i="21"/>
  <c r="J96" i="21" s="1"/>
  <c r="K62" i="44" s="1"/>
  <c r="P69" i="40"/>
  <c r="P70" i="40"/>
  <c r="K60" i="44"/>
  <c r="K59" i="44"/>
  <c r="O94" i="40"/>
  <c r="O93" i="40" s="1"/>
  <c r="O99" i="40" s="1"/>
  <c r="J97" i="21" l="1"/>
  <c r="K100" i="21"/>
  <c r="K101" i="21" s="1"/>
  <c r="K99" i="21" s="1"/>
  <c r="K58" i="44"/>
  <c r="P102" i="40"/>
  <c r="P103" i="40" s="1"/>
  <c r="P101" i="40" s="1"/>
  <c r="P106" i="40" s="1"/>
  <c r="P92" i="40" s="1"/>
  <c r="P87" i="40" s="1"/>
  <c r="O98" i="40"/>
  <c r="K36" i="21" l="1"/>
  <c r="P36" i="40"/>
  <c r="P68" i="40" s="1"/>
  <c r="P78" i="40" s="1"/>
  <c r="P97" i="40"/>
  <c r="P88" i="40"/>
  <c r="P95" i="40" s="1"/>
  <c r="P96" i="40"/>
  <c r="K79" i="21" l="1"/>
  <c r="K60" i="21"/>
  <c r="L13" i="44"/>
  <c r="K52" i="21"/>
  <c r="K13" i="21"/>
  <c r="L7" i="44"/>
  <c r="K50" i="21"/>
  <c r="K18" i="35"/>
  <c r="P67" i="40"/>
  <c r="P58" i="40" s="1"/>
  <c r="P57" i="40" s="1"/>
  <c r="P83" i="40" s="1"/>
  <c r="P77" i="40"/>
  <c r="P94" i="40"/>
  <c r="P93" i="40" s="1"/>
  <c r="K23" i="21" l="1"/>
  <c r="K30" i="21" s="1"/>
  <c r="K62" i="21" s="1"/>
  <c r="K59" i="21" s="1"/>
  <c r="Q69" i="40"/>
  <c r="Q70" i="40"/>
  <c r="P99" i="40"/>
  <c r="Q102" i="40"/>
  <c r="Q103" i="40" s="1"/>
  <c r="Q101" i="40" s="1"/>
  <c r="P98" i="40"/>
  <c r="L51" i="21" l="1"/>
  <c r="L8" i="44"/>
  <c r="K24" i="21"/>
  <c r="Q106" i="40"/>
  <c r="Q92" i="40" s="1"/>
  <c r="Q36" i="40"/>
  <c r="Q68" i="40" s="1"/>
  <c r="K103" i="21" l="1"/>
  <c r="K90" i="21" s="1"/>
  <c r="K85" i="21" s="1"/>
  <c r="K33" i="21"/>
  <c r="K68" i="21" s="1"/>
  <c r="K77" i="21" s="1"/>
  <c r="L16" i="44"/>
  <c r="L18" i="44"/>
  <c r="Q78" i="40"/>
  <c r="Q77" i="40"/>
  <c r="Q67" i="40"/>
  <c r="Q58" i="40" s="1"/>
  <c r="Q57" i="40" s="1"/>
  <c r="Q83" i="40" s="1"/>
  <c r="Q87" i="40"/>
  <c r="Q88" i="40" s="1"/>
  <c r="K86" i="21" l="1"/>
  <c r="K94" i="21"/>
  <c r="L61" i="44" s="1"/>
  <c r="K95" i="21"/>
  <c r="K92" i="21"/>
  <c r="K93" i="21"/>
  <c r="K69" i="21"/>
  <c r="K67" i="21" s="1"/>
  <c r="K58" i="21" s="1"/>
  <c r="K57" i="21" s="1"/>
  <c r="L6" i="44"/>
  <c r="K78" i="21"/>
  <c r="L12" i="21" s="1"/>
  <c r="L10" i="44"/>
  <c r="Q95" i="40"/>
  <c r="Q97" i="40"/>
  <c r="Q94" i="40"/>
  <c r="R69" i="40"/>
  <c r="R70" i="40"/>
  <c r="Q96" i="40"/>
  <c r="K91" i="21" l="1"/>
  <c r="K97" i="21" s="1"/>
  <c r="L58" i="44"/>
  <c r="L60" i="44"/>
  <c r="L59" i="44"/>
  <c r="L70" i="21"/>
  <c r="L5" i="44"/>
  <c r="K19" i="35"/>
  <c r="K96" i="21"/>
  <c r="L62" i="44" s="1"/>
  <c r="L100" i="21"/>
  <c r="L101" i="21" s="1"/>
  <c r="L99" i="21" s="1"/>
  <c r="Q93" i="40"/>
  <c r="R102" i="40" s="1"/>
  <c r="R103" i="40" s="1"/>
  <c r="R101" i="40" s="1"/>
  <c r="Q99" i="40" l="1"/>
  <c r="Q98" i="40"/>
  <c r="L36" i="21"/>
  <c r="R106" i="40"/>
  <c r="R92" i="40" s="1"/>
  <c r="R36" i="40"/>
  <c r="R68" i="40" s="1"/>
  <c r="M13" i="44" l="1"/>
  <c r="R78" i="40"/>
  <c r="R77" i="40"/>
  <c r="R67" i="40"/>
  <c r="R58" i="40" s="1"/>
  <c r="R57" i="40" s="1"/>
  <c r="R83" i="40" s="1"/>
  <c r="R87" i="40"/>
  <c r="R88" i="40" s="1"/>
  <c r="R95" i="40" s="1"/>
  <c r="M7" i="44" l="1"/>
  <c r="R94" i="40"/>
  <c r="R93" i="40" s="1"/>
  <c r="R96" i="40"/>
  <c r="R97" i="40"/>
  <c r="S70" i="40"/>
  <c r="S69" i="40"/>
  <c r="L13" i="21" l="1"/>
  <c r="L52" i="21"/>
  <c r="L60" i="21"/>
  <c r="L18" i="35"/>
  <c r="L50" i="21"/>
  <c r="L23" i="21" s="1"/>
  <c r="L30" i="21" s="1"/>
  <c r="L79" i="21"/>
  <c r="S102" i="40"/>
  <c r="S103" i="40" s="1"/>
  <c r="S101" i="40" s="1"/>
  <c r="S36" i="40" s="1"/>
  <c r="S68" i="40" s="1"/>
  <c r="R98" i="40"/>
  <c r="R99" i="40"/>
  <c r="S106" i="40" l="1"/>
  <c r="S92" i="40" s="1"/>
  <c r="S87" i="40" s="1"/>
  <c r="S88" i="40" s="1"/>
  <c r="L24" i="21"/>
  <c r="L62" i="21"/>
  <c r="M51" i="21"/>
  <c r="S67" i="40"/>
  <c r="S58" i="40" s="1"/>
  <c r="S57" i="40" s="1"/>
  <c r="S83" i="40" s="1"/>
  <c r="S77" i="40"/>
  <c r="S78" i="40"/>
  <c r="L59" i="21" l="1"/>
  <c r="M8" i="44"/>
  <c r="M16" i="44"/>
  <c r="L33" i="21"/>
  <c r="L103" i="21"/>
  <c r="L90" i="21" s="1"/>
  <c r="S95" i="40"/>
  <c r="S97" i="40"/>
  <c r="S96" i="40"/>
  <c r="S94" i="40"/>
  <c r="T70" i="40"/>
  <c r="T69" i="40"/>
  <c r="L85" i="21" l="1"/>
  <c r="L95" i="21" s="1"/>
  <c r="L68" i="21"/>
  <c r="L77" i="21" s="1"/>
  <c r="M18" i="44"/>
  <c r="S93" i="40"/>
  <c r="S98" i="40" s="1"/>
  <c r="L69" i="21"/>
  <c r="L94" i="21" l="1"/>
  <c r="L86" i="21"/>
  <c r="L93" i="21" s="1"/>
  <c r="L67" i="21"/>
  <c r="L58" i="21" s="1"/>
  <c r="L57" i="21" s="1"/>
  <c r="S99" i="40"/>
  <c r="M6" i="44"/>
  <c r="L78" i="21"/>
  <c r="M12" i="21" s="1"/>
  <c r="M10" i="44"/>
  <c r="T102" i="40"/>
  <c r="T103" i="40" s="1"/>
  <c r="T101" i="40" s="1"/>
  <c r="T106" i="40" s="1"/>
  <c r="T92" i="40" s="1"/>
  <c r="T87" i="40" s="1"/>
  <c r="T97" i="40" s="1"/>
  <c r="L92" i="21"/>
  <c r="M61" i="44" l="1"/>
  <c r="M5" i="44"/>
  <c r="M70" i="21"/>
  <c r="L91" i="21"/>
  <c r="T36" i="40"/>
  <c r="L19" i="35"/>
  <c r="T96" i="40"/>
  <c r="T88" i="40"/>
  <c r="L96" i="21" l="1"/>
  <c r="M62" i="44" s="1"/>
  <c r="M58" i="44"/>
  <c r="M59" i="44"/>
  <c r="M60" i="44"/>
  <c r="T68" i="40"/>
  <c r="T78" i="40" s="1"/>
  <c r="L97" i="21"/>
  <c r="M100" i="21"/>
  <c r="M101" i="21" s="1"/>
  <c r="M99" i="21" s="1"/>
  <c r="M36" i="21" s="1"/>
  <c r="T94" i="40"/>
  <c r="T95" i="40"/>
  <c r="T67" i="40" l="1"/>
  <c r="T58" i="40" s="1"/>
  <c r="T57" i="40" s="1"/>
  <c r="T83" i="40" s="1"/>
  <c r="T77" i="40"/>
  <c r="N13" i="44"/>
  <c r="T93" i="40"/>
  <c r="T98" i="40" s="1"/>
  <c r="U69" i="40" l="1"/>
  <c r="U70" i="40"/>
  <c r="M79" i="21"/>
  <c r="D81" i="21" s="1"/>
  <c r="N7" i="44"/>
  <c r="T99" i="40"/>
  <c r="U102" i="40"/>
  <c r="U103" i="40" s="1"/>
  <c r="U101" i="40" s="1"/>
  <c r="U106" i="40" s="1"/>
  <c r="U92" i="40" s="1"/>
  <c r="U87" i="40" s="1"/>
  <c r="U96" i="40" s="1"/>
  <c r="M20" i="35"/>
  <c r="M13" i="21" l="1"/>
  <c r="M52" i="21"/>
  <c r="M60" i="21"/>
  <c r="M18" i="35"/>
  <c r="J12" i="35" s="1"/>
  <c r="N12" i="21"/>
  <c r="N79" i="21" s="1"/>
  <c r="M50" i="21"/>
  <c r="N50" i="21" s="1"/>
  <c r="U36" i="40"/>
  <c r="U68" i="40" s="1"/>
  <c r="U77" i="40" s="1"/>
  <c r="U88" i="40"/>
  <c r="U94" i="40" s="1"/>
  <c r="U97" i="40"/>
  <c r="N60" i="21"/>
  <c r="N52" i="21" l="1"/>
  <c r="O7" i="44"/>
  <c r="N13" i="21"/>
  <c r="M23" i="21"/>
  <c r="M24" i="21" s="1"/>
  <c r="O12" i="21"/>
  <c r="O79" i="21" s="1"/>
  <c r="U67" i="40"/>
  <c r="U58" i="40" s="1"/>
  <c r="U57" i="40" s="1"/>
  <c r="U83" i="40" s="1"/>
  <c r="U78" i="40"/>
  <c r="N16" i="44"/>
  <c r="U95" i="40"/>
  <c r="U93" i="40" s="1"/>
  <c r="V102" i="40" s="1"/>
  <c r="V103" i="40" s="1"/>
  <c r="V101" i="40" s="1"/>
  <c r="M103" i="21" l="1"/>
  <c r="O60" i="21"/>
  <c r="O52" i="21"/>
  <c r="M33" i="21"/>
  <c r="M69" i="21" s="1"/>
  <c r="P7" i="44"/>
  <c r="P12" i="21"/>
  <c r="P79" i="21" s="1"/>
  <c r="M30" i="21"/>
  <c r="O51" i="21" s="1"/>
  <c r="O13" i="21"/>
  <c r="O50" i="21"/>
  <c r="P50" i="21" s="1"/>
  <c r="V70" i="40"/>
  <c r="V69" i="40"/>
  <c r="M68" i="21"/>
  <c r="N18" i="44"/>
  <c r="U98" i="40"/>
  <c r="U99" i="40"/>
  <c r="V36" i="40"/>
  <c r="V68" i="40" s="1"/>
  <c r="V106" i="40"/>
  <c r="N51" i="21" l="1"/>
  <c r="N23" i="21" s="1"/>
  <c r="M62" i="21"/>
  <c r="M59" i="21" s="1"/>
  <c r="M77" i="21" s="1"/>
  <c r="Q12" i="21"/>
  <c r="Q79" i="21" s="1"/>
  <c r="Q7" i="44"/>
  <c r="P13" i="21"/>
  <c r="O23" i="21"/>
  <c r="O24" i="21" s="1"/>
  <c r="M67" i="21"/>
  <c r="N30" i="21"/>
  <c r="N62" i="21" s="1"/>
  <c r="O8" i="44" s="1"/>
  <c r="N24" i="21"/>
  <c r="Q50" i="21"/>
  <c r="N8" i="44"/>
  <c r="R7" i="44"/>
  <c r="M78" i="21"/>
  <c r="N10" i="44"/>
  <c r="Q13" i="21"/>
  <c r="M90" i="21"/>
  <c r="V92" i="40"/>
  <c r="V78" i="40"/>
  <c r="V67" i="40"/>
  <c r="V58" i="40" s="1"/>
  <c r="V57" i="40" s="1"/>
  <c r="V77" i="40"/>
  <c r="R12" i="21" l="1"/>
  <c r="R79" i="21" s="1"/>
  <c r="O30" i="21"/>
  <c r="O62" i="21" s="1"/>
  <c r="O16" i="44"/>
  <c r="N33" i="21"/>
  <c r="O18" i="44" s="1"/>
  <c r="N59" i="21"/>
  <c r="M58" i="21"/>
  <c r="M57" i="21" s="1"/>
  <c r="S7" i="44"/>
  <c r="M85" i="21"/>
  <c r="M86" i="21" s="1"/>
  <c r="M93" i="21" s="1"/>
  <c r="S12" i="21"/>
  <c r="S79" i="21" s="1"/>
  <c r="R13" i="21"/>
  <c r="M19" i="35"/>
  <c r="P16" i="44"/>
  <c r="N6" i="44"/>
  <c r="V83" i="40"/>
  <c r="V87" i="40"/>
  <c r="V88" i="40" s="1"/>
  <c r="V95" i="40" s="1"/>
  <c r="W69" i="40"/>
  <c r="W70" i="40"/>
  <c r="P51" i="21"/>
  <c r="O33" i="21"/>
  <c r="P18" i="44" s="1"/>
  <c r="R50" i="21" l="1"/>
  <c r="T12" i="21"/>
  <c r="T79" i="21" s="1"/>
  <c r="N70" i="21"/>
  <c r="M94" i="21"/>
  <c r="M95" i="21"/>
  <c r="S50" i="21"/>
  <c r="N5" i="44"/>
  <c r="M92" i="21"/>
  <c r="N69" i="21"/>
  <c r="S13" i="21"/>
  <c r="T7" i="44"/>
  <c r="O59" i="21"/>
  <c r="P8" i="44"/>
  <c r="V96" i="40"/>
  <c r="V94" i="40"/>
  <c r="V93" i="40" s="1"/>
  <c r="V97" i="40"/>
  <c r="N61" i="44" l="1"/>
  <c r="U7" i="44"/>
  <c r="T13" i="21"/>
  <c r="U12" i="21"/>
  <c r="U79" i="21" s="1"/>
  <c r="T50" i="21"/>
  <c r="M91" i="21"/>
  <c r="V99" i="40"/>
  <c r="W102" i="40"/>
  <c r="W103" i="40" s="1"/>
  <c r="W101" i="40" s="1"/>
  <c r="V98" i="40"/>
  <c r="U13" i="21" l="1"/>
  <c r="V12" i="21"/>
  <c r="V79" i="21" s="1"/>
  <c r="V7" i="44"/>
  <c r="M97" i="21"/>
  <c r="N58" i="44"/>
  <c r="U50" i="21"/>
  <c r="N60" i="44"/>
  <c r="M96" i="21"/>
  <c r="N62" i="44" s="1"/>
  <c r="N59" i="44"/>
  <c r="N100" i="21"/>
  <c r="N101" i="21" s="1"/>
  <c r="N99" i="21" s="1"/>
  <c r="N103" i="21" s="1"/>
  <c r="N90" i="21" s="1"/>
  <c r="W36" i="40"/>
  <c r="W106" i="40"/>
  <c r="W92" i="40" s="1"/>
  <c r="W87" i="40" s="1"/>
  <c r="W96" i="40" s="1"/>
  <c r="P52" i="21"/>
  <c r="P60" i="21"/>
  <c r="V13" i="21" l="1"/>
  <c r="W12" i="21"/>
  <c r="W79" i="21" s="1"/>
  <c r="W7" i="44"/>
  <c r="V50" i="21"/>
  <c r="N85" i="21"/>
  <c r="N95" i="21" s="1"/>
  <c r="N36" i="21"/>
  <c r="W68" i="40"/>
  <c r="W67" i="40" s="1"/>
  <c r="W58" i="40" s="1"/>
  <c r="W57" i="40" s="1"/>
  <c r="W88" i="40"/>
  <c r="W95" i="40" s="1"/>
  <c r="W97" i="40"/>
  <c r="P23" i="21"/>
  <c r="W83" i="40" l="1"/>
  <c r="I13" i="35"/>
  <c r="X7" i="44"/>
  <c r="W13" i="21"/>
  <c r="W50" i="21"/>
  <c r="O13" i="44"/>
  <c r="N68" i="21"/>
  <c r="N67" i="21" s="1"/>
  <c r="N58" i="21" s="1"/>
  <c r="N57" i="21" s="1"/>
  <c r="N94" i="21"/>
  <c r="N86" i="21"/>
  <c r="N93" i="21" s="1"/>
  <c r="W77" i="40"/>
  <c r="H13" i="35" s="1"/>
  <c r="W78" i="40"/>
  <c r="W94" i="40"/>
  <c r="P24" i="21"/>
  <c r="P30" i="21"/>
  <c r="K13" i="35" l="1"/>
  <c r="O10" i="44"/>
  <c r="N77" i="21"/>
  <c r="N78" i="21"/>
  <c r="N92" i="21"/>
  <c r="O5" i="44"/>
  <c r="O69" i="21"/>
  <c r="O70" i="21"/>
  <c r="Q16" i="44"/>
  <c r="W93" i="40"/>
  <c r="W99" i="40" s="1"/>
  <c r="P62" i="21"/>
  <c r="Q51" i="21"/>
  <c r="P33" i="21"/>
  <c r="Q18" i="44" s="1"/>
  <c r="O6" i="44" l="1"/>
  <c r="O61" i="44"/>
  <c r="N91" i="21"/>
  <c r="P59" i="21"/>
  <c r="Q8" i="44"/>
  <c r="W98" i="40"/>
  <c r="O59" i="44" l="1"/>
  <c r="O58" i="44"/>
  <c r="O60" i="44"/>
  <c r="N96" i="21"/>
  <c r="O62" i="44" s="1"/>
  <c r="O100" i="21"/>
  <c r="O101" i="21" s="1"/>
  <c r="O99" i="21" s="1"/>
  <c r="N97" i="21"/>
  <c r="O36" i="21" l="1"/>
  <c r="O103" i="21"/>
  <c r="O90" i="21" s="1"/>
  <c r="Q60" i="21"/>
  <c r="Q52" i="21"/>
  <c r="O85" i="21" l="1"/>
  <c r="O94" i="21" s="1"/>
  <c r="O68" i="21"/>
  <c r="P13" i="44"/>
  <c r="Q23" i="21"/>
  <c r="P10" i="44" l="1"/>
  <c r="O67" i="21"/>
  <c r="O58" i="21" s="1"/>
  <c r="O57" i="21" s="1"/>
  <c r="O78" i="21"/>
  <c r="O77" i="21"/>
  <c r="O95" i="21"/>
  <c r="O86" i="21"/>
  <c r="Q30" i="21"/>
  <c r="Q24" i="21"/>
  <c r="O92" i="21" l="1"/>
  <c r="O93" i="21"/>
  <c r="P6" i="44"/>
  <c r="P69" i="21"/>
  <c r="P70" i="21"/>
  <c r="P5" i="44"/>
  <c r="R16" i="44"/>
  <c r="Q62" i="21"/>
  <c r="R51" i="21"/>
  <c r="Q33" i="21"/>
  <c r="R18" i="44" s="1"/>
  <c r="P61" i="44" l="1"/>
  <c r="O91" i="21"/>
  <c r="Q59" i="21"/>
  <c r="R8" i="44"/>
  <c r="O96" i="21" l="1"/>
  <c r="P62" i="44" s="1"/>
  <c r="P58" i="44"/>
  <c r="P60" i="44"/>
  <c r="P59" i="44"/>
  <c r="P100" i="21"/>
  <c r="P101" i="21" s="1"/>
  <c r="P99" i="21" s="1"/>
  <c r="P103" i="21" s="1"/>
  <c r="P90" i="21" s="1"/>
  <c r="O97" i="21"/>
  <c r="P36" i="21" l="1"/>
  <c r="P85" i="21"/>
  <c r="P95" i="21" s="1"/>
  <c r="R52" i="21"/>
  <c r="R60" i="21"/>
  <c r="Q13" i="44" l="1"/>
  <c r="P68" i="21"/>
  <c r="P67" i="21" s="1"/>
  <c r="P58" i="21" s="1"/>
  <c r="P57" i="21" s="1"/>
  <c r="P94" i="21"/>
  <c r="P86" i="21"/>
  <c r="P92" i="21" s="1"/>
  <c r="R23" i="21"/>
  <c r="Q10" i="44" l="1"/>
  <c r="P78" i="21"/>
  <c r="P77" i="21"/>
  <c r="P93" i="21"/>
  <c r="Q61" i="44" s="1"/>
  <c r="Q69" i="21"/>
  <c r="Q5" i="44"/>
  <c r="Q70" i="21"/>
  <c r="R24" i="21"/>
  <c r="R30" i="21"/>
  <c r="Q6" i="44" l="1"/>
  <c r="P91" i="21"/>
  <c r="S16" i="44"/>
  <c r="R62" i="21"/>
  <c r="S51" i="21"/>
  <c r="R33" i="21"/>
  <c r="S18" i="44" s="1"/>
  <c r="Q60" i="44" l="1"/>
  <c r="Q58" i="44"/>
  <c r="Q59" i="44"/>
  <c r="Q100" i="21"/>
  <c r="Q101" i="21" s="1"/>
  <c r="Q99" i="21" s="1"/>
  <c r="Q103" i="21" s="1"/>
  <c r="Q90" i="21" s="1"/>
  <c r="P96" i="21"/>
  <c r="Q62" i="44" s="1"/>
  <c r="P97" i="21"/>
  <c r="R59" i="21"/>
  <c r="S8" i="44"/>
  <c r="Q36" i="21" l="1"/>
  <c r="Q85" i="21"/>
  <c r="R13" i="44" l="1"/>
  <c r="Q68" i="21"/>
  <c r="Q78" i="21" s="1"/>
  <c r="Q95" i="21"/>
  <c r="Q94" i="21"/>
  <c r="Q86" i="21"/>
  <c r="Q93" i="21" s="1"/>
  <c r="R10" i="44"/>
  <c r="S52" i="21"/>
  <c r="S60" i="21"/>
  <c r="Q67" i="21" l="1"/>
  <c r="Q58" i="21" s="1"/>
  <c r="Q57" i="21" s="1"/>
  <c r="R70" i="21" s="1"/>
  <c r="Q77" i="21"/>
  <c r="Q92" i="21"/>
  <c r="R5" i="44"/>
  <c r="R69" i="21"/>
  <c r="S23" i="21"/>
  <c r="R6" i="44" l="1"/>
  <c r="R61" i="44"/>
  <c r="Q91" i="21"/>
  <c r="S30" i="21"/>
  <c r="S24" i="21"/>
  <c r="R59" i="44" l="1"/>
  <c r="R58" i="44"/>
  <c r="R60" i="44"/>
  <c r="R100" i="21"/>
  <c r="R101" i="21" s="1"/>
  <c r="R99" i="21" s="1"/>
  <c r="Q96" i="21"/>
  <c r="R62" i="44" s="1"/>
  <c r="Q97" i="21"/>
  <c r="T16" i="44"/>
  <c r="S62" i="21"/>
  <c r="T51" i="21"/>
  <c r="S33" i="21"/>
  <c r="T18" i="44" s="1"/>
  <c r="R103" i="21" l="1"/>
  <c r="R90" i="21" s="1"/>
  <c r="R36" i="21"/>
  <c r="S59" i="21"/>
  <c r="T8" i="44"/>
  <c r="S13" i="44" l="1"/>
  <c r="R68" i="21"/>
  <c r="R85" i="21"/>
  <c r="R86" i="21" l="1"/>
  <c r="R93" i="21" s="1"/>
  <c r="R94" i="21"/>
  <c r="S10" i="44"/>
  <c r="R78" i="21"/>
  <c r="R77" i="21"/>
  <c r="R67" i="21"/>
  <c r="R58" i="21" s="1"/>
  <c r="R57" i="21" s="1"/>
  <c r="R95" i="21"/>
  <c r="T52" i="21"/>
  <c r="T60" i="21"/>
  <c r="R92" i="21" l="1"/>
  <c r="S60" i="44" s="1"/>
  <c r="S61" i="44"/>
  <c r="S6" i="44"/>
  <c r="S70" i="21"/>
  <c r="S5" i="44"/>
  <c r="S69" i="21"/>
  <c r="T23" i="21"/>
  <c r="R91" i="21" l="1"/>
  <c r="T24" i="21"/>
  <c r="T30" i="21"/>
  <c r="R97" i="21" l="1"/>
  <c r="S58" i="44"/>
  <c r="S59" i="44"/>
  <c r="R96" i="21"/>
  <c r="S62" i="44" s="1"/>
  <c r="S100" i="21"/>
  <c r="S101" i="21" s="1"/>
  <c r="S99" i="21" s="1"/>
  <c r="S36" i="21" s="1"/>
  <c r="U16" i="44"/>
  <c r="T62" i="21"/>
  <c r="U51" i="21"/>
  <c r="T33" i="21"/>
  <c r="S68" i="21" l="1"/>
  <c r="S67" i="21" s="1"/>
  <c r="S58" i="21" s="1"/>
  <c r="S57" i="21" s="1"/>
  <c r="T69" i="21" s="1"/>
  <c r="T13" i="44"/>
  <c r="S103" i="21"/>
  <c r="S90" i="21" s="1"/>
  <c r="T10" i="44"/>
  <c r="T59" i="21"/>
  <c r="U8" i="44"/>
  <c r="U18" i="44"/>
  <c r="S77" i="21" l="1"/>
  <c r="T6" i="44" s="1"/>
  <c r="S78" i="21"/>
  <c r="S85" i="21"/>
  <c r="S86" i="21" s="1"/>
  <c r="S93" i="21" s="1"/>
  <c r="T70" i="21"/>
  <c r="T5" i="44"/>
  <c r="S92" i="21" l="1"/>
  <c r="S91" i="21" s="1"/>
  <c r="T58" i="44" s="1"/>
  <c r="S95" i="21"/>
  <c r="S94" i="21"/>
  <c r="T61" i="44" s="1"/>
  <c r="T60" i="44"/>
  <c r="U60" i="21"/>
  <c r="U52" i="21"/>
  <c r="T59" i="44" l="1"/>
  <c r="S97" i="21"/>
  <c r="T100" i="21"/>
  <c r="T101" i="21" s="1"/>
  <c r="T99" i="21" s="1"/>
  <c r="T62" i="44"/>
  <c r="S96" i="21"/>
  <c r="U23" i="21"/>
  <c r="T103" i="21" l="1"/>
  <c r="T90" i="21" s="1"/>
  <c r="T85" i="21" s="1"/>
  <c r="T86" i="21" s="1"/>
  <c r="T36" i="21"/>
  <c r="U13" i="44"/>
  <c r="U30" i="21"/>
  <c r="U24" i="21"/>
  <c r="T68" i="21" l="1"/>
  <c r="T67" i="21" s="1"/>
  <c r="T58" i="21" s="1"/>
  <c r="T57" i="21" s="1"/>
  <c r="T93" i="21"/>
  <c r="T94" i="21"/>
  <c r="U61" i="44" s="1"/>
  <c r="T92" i="21"/>
  <c r="T95" i="21"/>
  <c r="U10" i="44"/>
  <c r="V16" i="44"/>
  <c r="U62" i="21"/>
  <c r="V51" i="21"/>
  <c r="U33" i="21"/>
  <c r="T77" i="21" l="1"/>
  <c r="T78" i="21"/>
  <c r="T91" i="21"/>
  <c r="T96" i="21" s="1"/>
  <c r="U62" i="44" s="1"/>
  <c r="U6" i="44"/>
  <c r="U60" i="44"/>
  <c r="U70" i="21"/>
  <c r="U5" i="44"/>
  <c r="V18" i="44"/>
  <c r="U59" i="21"/>
  <c r="V8" i="44"/>
  <c r="U69" i="21"/>
  <c r="U100" i="21" l="1"/>
  <c r="U101" i="21" s="1"/>
  <c r="U99" i="21" s="1"/>
  <c r="T97" i="21"/>
  <c r="U59" i="44"/>
  <c r="U58" i="44"/>
  <c r="U36" i="21"/>
  <c r="U103" i="21"/>
  <c r="U90" i="21" s="1"/>
  <c r="U85" i="21" s="1"/>
  <c r="U86" i="21" s="1"/>
  <c r="U92" i="21" s="1"/>
  <c r="V13" i="44" l="1"/>
  <c r="U68" i="21"/>
  <c r="U93" i="21"/>
  <c r="U91" i="21" s="1"/>
  <c r="V59" i="44" s="1"/>
  <c r="U95" i="21"/>
  <c r="U94" i="21"/>
  <c r="V52" i="21"/>
  <c r="V60" i="21"/>
  <c r="V58" i="44" l="1"/>
  <c r="V61" i="44"/>
  <c r="V10" i="44"/>
  <c r="U78" i="21"/>
  <c r="U77" i="21"/>
  <c r="U67" i="21"/>
  <c r="U58" i="21" s="1"/>
  <c r="U57" i="21" s="1"/>
  <c r="V60" i="44"/>
  <c r="V100" i="21"/>
  <c r="V101" i="21" s="1"/>
  <c r="U97" i="21"/>
  <c r="V23" i="21"/>
  <c r="U96" i="21"/>
  <c r="V62" i="44" s="1"/>
  <c r="V70" i="21" l="1"/>
  <c r="V5" i="44"/>
  <c r="V6" i="44"/>
  <c r="V99" i="21"/>
  <c r="V24" i="21"/>
  <c r="V30" i="21"/>
  <c r="V36" i="21" l="1"/>
  <c r="W16" i="44"/>
  <c r="V103" i="21"/>
  <c r="V62" i="21"/>
  <c r="W51" i="21"/>
  <c r="V33" i="21"/>
  <c r="W13" i="44" l="1"/>
  <c r="V68" i="21"/>
  <c r="W10" i="44" s="1"/>
  <c r="W18" i="44"/>
  <c r="V59" i="21"/>
  <c r="W8" i="44"/>
  <c r="V90" i="21"/>
  <c r="V69" i="21"/>
  <c r="V67" i="21" l="1"/>
  <c r="V58" i="21" s="1"/>
  <c r="V57" i="21" s="1"/>
  <c r="W5" i="44" s="1"/>
  <c r="V78" i="21"/>
  <c r="V77" i="21"/>
  <c r="V85" i="21"/>
  <c r="V86" i="21" s="1"/>
  <c r="V93" i="21" s="1"/>
  <c r="W6" i="44" l="1"/>
  <c r="W70" i="21"/>
  <c r="V94" i="21"/>
  <c r="V95" i="21"/>
  <c r="V92" i="21"/>
  <c r="W60" i="21"/>
  <c r="W52" i="21"/>
  <c r="W61" i="44" l="1"/>
  <c r="V91" i="21"/>
  <c r="W23" i="21"/>
  <c r="W30" i="21" s="1"/>
  <c r="W62" i="21" s="1"/>
  <c r="X8" i="44" s="1"/>
  <c r="V96" i="21" l="1"/>
  <c r="W62" i="44" s="1"/>
  <c r="W58" i="44"/>
  <c r="W100" i="21"/>
  <c r="W101" i="21" s="1"/>
  <c r="W99" i="21" s="1"/>
  <c r="W60" i="44"/>
  <c r="W59" i="44"/>
  <c r="V97" i="21"/>
  <c r="W24" i="21"/>
  <c r="W59" i="21"/>
  <c r="W36" i="21" l="1"/>
  <c r="X16" i="44"/>
  <c r="W103" i="21"/>
  <c r="W90" i="21" s="1"/>
  <c r="W33" i="21"/>
  <c r="X13" i="44" l="1"/>
  <c r="W85" i="21"/>
  <c r="W86" i="21" s="1"/>
  <c r="W93" i="21" s="1"/>
  <c r="W68" i="21"/>
  <c r="W77" i="21" s="1"/>
  <c r="H12" i="35" s="1"/>
  <c r="X18" i="44"/>
  <c r="W69" i="21"/>
  <c r="W95" i="21" l="1"/>
  <c r="W92" i="21"/>
  <c r="W91" i="21" s="1"/>
  <c r="W94" i="21"/>
  <c r="X61" i="44" s="1"/>
  <c r="W67" i="21"/>
  <c r="W58" i="21" s="1"/>
  <c r="W57" i="21" s="1"/>
  <c r="I12" i="35" s="1"/>
  <c r="K12" i="35" s="1"/>
  <c r="X6" i="44"/>
  <c r="W78" i="21"/>
  <c r="X10" i="44"/>
  <c r="X5" i="44" l="1"/>
  <c r="W97" i="21"/>
  <c r="X58" i="44"/>
  <c r="X60" i="44"/>
  <c r="X59" i="44"/>
  <c r="W96" i="21"/>
  <c r="X62" i="44" s="1"/>
  <c r="H96" i="9" l="1"/>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sharedStrings.xml><?xml version="1.0" encoding="utf-8"?>
<sst xmlns="http://schemas.openxmlformats.org/spreadsheetml/2006/main" count="490" uniqueCount="218">
  <si>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</si>
  <si>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</si>
  <si>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</si>
  <si>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</si>
  <si>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</si>
  <si>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</si>
  <si>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</si>
  <si>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</si>
  <si>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</si>
  <si>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</si>
  <si>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</si>
  <si>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</si>
  <si>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</si>
  <si>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</si>
  <si>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</si>
  <si>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</si>
  <si>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</si>
  <si>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</si>
  <si>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</si>
  <si>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</si>
  <si>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</si>
  <si>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</si>
  <si>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</si>
  <si>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</si>
  <si>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</si>
  <si>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</si>
  <si>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</si>
  <si>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</si>
  <si>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</si>
  <si>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</si>
  <si>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</si>
  <si>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</si>
  <si>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</si>
  <si>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</si>
  <si>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</si>
  <si>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</si>
  <si>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</si>
  <si>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</si>
  <si>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</si>
  <si>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</si>
  <si>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</si>
  <si>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</si>
  <si>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</si>
  <si>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</si>
  <si>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</si>
  <si>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</si>
  <si>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</si>
  <si>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</si>
  <si>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</si>
  <si>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</si>
  <si>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</si>
  <si>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</si>
  <si>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</si>
  <si>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</si>
  <si>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</si>
  <si>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</si>
  <si>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</si>
  <si>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</si>
  <si>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</si>
  <si>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</si>
  <si>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</si>
  <si>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</si>
  <si>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</si>
  <si>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</si>
  <si>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</si>
  <si>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</si>
  <si>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</si>
  <si>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</si>
  <si>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</si>
  <si>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</si>
  <si>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</si>
  <si>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</si>
  <si>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</si>
  <si>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</si>
  <si>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</si>
  <si>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</si>
  <si>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</si>
  <si>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</si>
  <si>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</si>
  <si>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</si>
  <si>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</si>
  <si>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</si>
  <si>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</si>
  <si>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</si>
  <si>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</si>
  <si>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</si>
  <si>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</si>
  <si>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</si>
  <si>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</si>
  <si>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</si>
  <si>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</si>
  <si>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</si>
  <si>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</si>
  <si>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</si>
  <si>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</si>
  <si>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</si>
  <si>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</si>
  <si>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</si>
  <si>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</si>
  <si>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</si>
  <si>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</si>
  <si>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</si>
  <si>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</si>
  <si>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</si>
  <si>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</si>
  <si>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</si>
  <si>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</si>
  <si>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</si>
  <si>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</si>
  <si>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</si>
  <si>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</si>
  <si>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</si>
  <si>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</si>
  <si>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</si>
  <si>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</si>
  <si>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</si>
  <si>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HR</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</si>
  <si>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</si>
  <si>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</si>
  <si>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</si>
  <si>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</si>
  <si>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</si>
  <si>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</si>
  <si>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</si>
  <si>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</si>
  <si>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</si>
  <si>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</si>
  <si>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</si>
  <si>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</si>
  <si>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</si>
  <si>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</si>
  <si>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</si>
  <si>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</si>
  <si>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</si>
  <si>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</si>
  <si>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</si>
  <si>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</si>
  <si>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</si>
  <si>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</si>
  <si>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</si>
  <si>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</si>
  <si>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</si>
  <si>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</si>
  <si>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</si>
  <si>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</si>
  <si>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</si>
  <si>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</si>
  <si>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</si>
  <si>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</si>
  <si>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</si>
  <si>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</si>
  <si>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</si>
  <si>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</si>
  <si>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</si>
  <si>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</si>
  <si>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</si>
  <si>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</si>
  <si>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</si>
  <si>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</si>
  <si>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</si>
  <si>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</si>
  <si>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</si>
  <si>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</si>
  <si>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</si>
  <si>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</si>
  <si>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</si>
  <si>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</si>
  <si>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</si>
  <si>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</si>
  <si>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</si>
  <si>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</si>
  <si>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</si>
  <si>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</si>
  <si>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</si>
  <si>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</si>
  <si>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</si>
  <si>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</si>
  <si>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</si>
  <si>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</si>
  <si>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</si>
  <si>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</si>
  <si>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</si>
  <si>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</si>
  <si>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</si>
  <si>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</si>
  <si>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</si>
  <si>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</si>
  <si>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t>
    </r>
    <r>
      <rPr>
        <sz val="11"/>
        <color rgb="FF0070C0"/>
        <rFont val="Calibri"/>
        <family val="2"/>
        <scheme val="minor"/>
      </rPr>
      <t xml:space="preserve"> </t>
    </r>
    <r>
      <rPr>
        <i/>
        <sz val="11"/>
        <color rgb="FF0070C0"/>
        <rFont val="Calibri"/>
        <family val="2"/>
        <scheme val="minor"/>
      </rPr>
      <t>(SF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</si>
  <si>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1.</t>
  </si>
  <si>
    <t>2.</t>
  </si>
  <si>
    <t>Interest rates (SF 2024, %)</t>
  </si>
  <si>
    <t>Inflation (SF 2024, %)</t>
  </si>
  <si>
    <t>Net primary expenditure growth (SF 2024, %)</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</si>
  <si>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</si>
  <si>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</si>
  <si>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</si>
  <si>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</si>
  <si>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</si>
  <si>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</si>
  <si>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</si>
  <si>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</si>
  <si>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</si>
  <si>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</si>
  <si>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</si>
  <si>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</si>
  <si>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</si>
  <si>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</si>
  <si>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</si>
  <si>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</si>
  <si>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</si>
  <si>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</si>
  <si>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</si>
  <si>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</si>
  <si>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</si>
  <si>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</si>
  <si>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No extension (annual adjustment of 0.38)</t>
  </si>
  <si>
    <t>Extension (annual adjustment of 0.24)</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</si>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</sst>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72">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2" fontId="21" fillId="10" borderId="0" xfId="0" applyNumberFormat="1" applyFont="1" applyFill="1" applyAlignment="1">
      <alignment horizontal="center"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21" fillId="2" borderId="0" xfId="0" applyNumberFormat="1" applyFont="1" applyFill="1"/>
    <xf numFmtId="165" fontId="0" fillId="2" borderId="12" xfId="0" applyNumberFormat="1" applyFill="1" applyBorder="1" applyAlignment="1">
      <alignment horizontal="center" vertical="top" wrapText="1"/>
    </xf>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5">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tabSelected="1" zoomScaleNormal="100" workbookViewId="0"/>
  </sheetViews>
  <sheetFormatPr defaultColWidth="9.28515625" defaultRowHeight="15" x14ac:dyDescent="0.25"/>
  <cols>
    <col min="1" max="3" width="9.28515625" style="206"/>
    <col min="4" max="4" width="7.28515625" style="206" customWidth="1"/>
    <col min="5" max="5" width="6.140625" style="206" customWidth="1"/>
    <col min="6" max="6" width="3.140625" style="206" customWidth="1"/>
    <col min="7" max="13" width="9.28515625" style="206"/>
    <col min="14" max="14" width="18.140625" style="206" customWidth="1"/>
    <col min="15" max="16384" width="9.28515625" style="206"/>
  </cols>
  <sheetData>
    <row r="2" spans="2:12" x14ac:dyDescent="0.25">
      <c r="B2" s="234"/>
      <c r="C2" s="233"/>
      <c r="D2" s="233"/>
      <c r="E2" s="233"/>
      <c r="F2" s="233"/>
      <c r="G2" s="237"/>
      <c r="H2" s="233"/>
      <c r="I2" s="233"/>
      <c r="J2" s="233"/>
      <c r="K2" s="233"/>
      <c r="L2" s="232"/>
    </row>
    <row r="3" spans="2:12" x14ac:dyDescent="0.25">
      <c r="B3" s="211"/>
      <c r="C3" s="236"/>
      <c r="D3" s="236"/>
      <c r="E3" s="236"/>
      <c r="F3" s="236"/>
      <c r="G3" s="230"/>
      <c r="H3" s="236"/>
      <c r="I3" s="236"/>
      <c r="J3" s="236"/>
      <c r="K3" s="236"/>
      <c r="L3" s="210"/>
    </row>
    <row r="4" spans="2:12" x14ac:dyDescent="0.25">
      <c r="B4" s="211"/>
      <c r="C4" s="236"/>
      <c r="D4" s="236"/>
      <c r="E4" s="236"/>
      <c r="F4" s="236"/>
      <c r="G4" s="231" t="s">
        <v>0</v>
      </c>
      <c r="H4" s="236"/>
      <c r="I4" s="236"/>
      <c r="J4" s="236"/>
      <c r="K4" s="236"/>
      <c r="L4" s="210"/>
    </row>
    <row r="5" spans="2:12" x14ac:dyDescent="0.25">
      <c r="B5" s="211"/>
      <c r="C5" s="236"/>
      <c r="D5" s="236"/>
      <c r="E5" s="236"/>
      <c r="F5" s="236"/>
      <c r="G5" s="230"/>
      <c r="H5" s="236"/>
      <c r="I5" s="236"/>
      <c r="J5" s="236"/>
      <c r="K5" s="236"/>
      <c r="L5" s="210"/>
    </row>
    <row r="6" spans="2:12" x14ac:dyDescent="0.25">
      <c r="B6" s="211"/>
      <c r="C6" s="236"/>
      <c r="D6" s="236"/>
      <c r="E6" s="236"/>
      <c r="F6" s="236"/>
      <c r="G6" s="230" t="s">
        <v>1</v>
      </c>
      <c r="H6" s="236"/>
      <c r="I6" s="236"/>
      <c r="J6" s="236"/>
      <c r="K6" s="236"/>
      <c r="L6" s="210"/>
    </row>
    <row r="7" spans="2:12" x14ac:dyDescent="0.25">
      <c r="B7" s="211"/>
      <c r="C7" s="236"/>
      <c r="D7" s="236"/>
      <c r="E7" s="236"/>
      <c r="F7" s="236"/>
      <c r="G7" s="230" t="s">
        <v>2</v>
      </c>
      <c r="H7" s="236"/>
      <c r="I7" s="236"/>
      <c r="J7" s="236"/>
      <c r="K7" s="236"/>
      <c r="L7" s="210"/>
    </row>
    <row r="8" spans="2:12" x14ac:dyDescent="0.25">
      <c r="B8" s="211"/>
      <c r="C8" s="236"/>
      <c r="D8" s="236"/>
      <c r="E8" s="236"/>
      <c r="F8" s="236"/>
      <c r="G8" s="144" t="s">
        <v>3</v>
      </c>
      <c r="H8" s="236"/>
      <c r="I8" s="236"/>
      <c r="J8" s="236"/>
      <c r="K8" s="236"/>
      <c r="L8" s="210"/>
    </row>
    <row r="9" spans="2:12" x14ac:dyDescent="0.25">
      <c r="B9" s="211"/>
      <c r="C9" s="236"/>
      <c r="D9" s="236"/>
      <c r="E9" s="236"/>
      <c r="F9" s="236"/>
      <c r="G9" s="230"/>
      <c r="H9" s="236"/>
      <c r="I9" s="236"/>
      <c r="J9" s="236"/>
      <c r="K9" s="236"/>
      <c r="L9" s="210"/>
    </row>
    <row r="10" spans="2:12" x14ac:dyDescent="0.25">
      <c r="B10" s="211"/>
      <c r="C10" s="236"/>
      <c r="D10" s="236"/>
      <c r="E10" s="236"/>
      <c r="F10" s="236"/>
      <c r="G10" s="230"/>
      <c r="H10" s="236"/>
      <c r="I10" s="236"/>
      <c r="J10" s="236"/>
      <c r="K10" s="236"/>
      <c r="L10" s="210"/>
    </row>
    <row r="11" spans="2:12" x14ac:dyDescent="0.25">
      <c r="B11" s="208"/>
      <c r="C11" s="235"/>
      <c r="D11" s="235"/>
      <c r="E11" s="235"/>
      <c r="F11" s="235"/>
      <c r="G11" s="235"/>
      <c r="H11" s="235"/>
      <c r="I11" s="235"/>
      <c r="J11" s="235"/>
      <c r="K11" s="235"/>
      <c r="L11" s="207"/>
    </row>
    <row r="15" spans="2:12" x14ac:dyDescent="0.25">
      <c r="B15" s="234"/>
      <c r="C15" s="233"/>
      <c r="D15" s="233"/>
      <c r="E15" s="233"/>
      <c r="F15" s="233"/>
      <c r="G15" s="233"/>
      <c r="H15" s="233"/>
      <c r="I15" s="233"/>
      <c r="J15" s="233"/>
      <c r="K15" s="233"/>
      <c r="L15" s="232"/>
    </row>
    <row r="16" spans="2:12" x14ac:dyDescent="0.25">
      <c r="B16" s="211"/>
      <c r="C16" s="231" t="s">
        <v>4</v>
      </c>
      <c r="D16" s="230"/>
      <c r="E16" s="230"/>
      <c r="F16" s="230"/>
      <c r="G16" s="230"/>
      <c r="H16" s="230"/>
      <c r="I16" s="230"/>
      <c r="J16" s="230"/>
      <c r="K16" s="230"/>
      <c r="L16" s="210"/>
    </row>
    <row r="17" spans="2:14" x14ac:dyDescent="0.25">
      <c r="B17" s="211"/>
      <c r="C17" s="230"/>
      <c r="D17" s="230"/>
      <c r="E17" s="230"/>
      <c r="F17" s="230"/>
      <c r="G17" s="231"/>
      <c r="H17" s="230"/>
      <c r="I17" s="230"/>
      <c r="J17" s="230"/>
      <c r="K17" s="230"/>
      <c r="L17" s="210"/>
    </row>
    <row r="18" spans="2:14" ht="15" customHeight="1" x14ac:dyDescent="0.25">
      <c r="B18" s="211"/>
      <c r="C18" s="328" t="s">
        <v>187</v>
      </c>
      <c r="D18" s="328"/>
      <c r="E18" s="328"/>
      <c r="F18" s="328"/>
      <c r="G18" s="328"/>
      <c r="H18" s="328"/>
      <c r="I18" s="328"/>
      <c r="J18" s="328"/>
      <c r="K18" s="328"/>
      <c r="L18" s="210"/>
    </row>
    <row r="19" spans="2:14" x14ac:dyDescent="0.25">
      <c r="B19" s="211"/>
      <c r="C19" s="328"/>
      <c r="D19" s="328"/>
      <c r="E19" s="328"/>
      <c r="F19" s="328"/>
      <c r="G19" s="328"/>
      <c r="H19" s="328"/>
      <c r="I19" s="328"/>
      <c r="J19" s="328"/>
      <c r="K19" s="328"/>
      <c r="L19" s="210"/>
    </row>
    <row r="20" spans="2:14" x14ac:dyDescent="0.25">
      <c r="B20" s="211"/>
      <c r="C20" s="328"/>
      <c r="D20" s="328"/>
      <c r="E20" s="328"/>
      <c r="F20" s="328"/>
      <c r="G20" s="328"/>
      <c r="H20" s="328"/>
      <c r="I20" s="328"/>
      <c r="J20" s="328"/>
      <c r="K20" s="328"/>
      <c r="L20" s="210"/>
    </row>
    <row r="21" spans="2:14" ht="9" customHeight="1" x14ac:dyDescent="0.25">
      <c r="B21" s="211"/>
      <c r="C21" s="230"/>
      <c r="D21" s="230"/>
      <c r="E21" s="230"/>
      <c r="F21" s="230"/>
      <c r="G21" s="230"/>
      <c r="H21" s="230"/>
      <c r="I21" s="230"/>
      <c r="J21" s="230"/>
      <c r="K21" s="230"/>
      <c r="L21" s="210"/>
    </row>
    <row r="22" spans="2:14" ht="15" customHeight="1" x14ac:dyDescent="0.25">
      <c r="B22" s="211"/>
      <c r="C22" s="328" t="s">
        <v>176</v>
      </c>
      <c r="D22" s="328"/>
      <c r="E22" s="328"/>
      <c r="F22" s="328"/>
      <c r="G22" s="328"/>
      <c r="H22" s="328"/>
      <c r="I22" s="328"/>
      <c r="J22" s="328"/>
      <c r="K22" s="328"/>
      <c r="L22" s="210"/>
    </row>
    <row r="23" spans="2:14" x14ac:dyDescent="0.25">
      <c r="B23" s="211"/>
      <c r="C23" s="328"/>
      <c r="D23" s="328"/>
      <c r="E23" s="328"/>
      <c r="F23" s="328"/>
      <c r="G23" s="328"/>
      <c r="H23" s="328"/>
      <c r="I23" s="328"/>
      <c r="J23" s="328"/>
      <c r="K23" s="328"/>
      <c r="L23" s="210"/>
    </row>
    <row r="24" spans="2:14" x14ac:dyDescent="0.25">
      <c r="B24" s="211"/>
      <c r="C24" s="328"/>
      <c r="D24" s="328"/>
      <c r="E24" s="328"/>
      <c r="F24" s="328"/>
      <c r="G24" s="328"/>
      <c r="H24" s="328"/>
      <c r="I24" s="328"/>
      <c r="J24" s="328"/>
      <c r="K24" s="328"/>
      <c r="L24" s="210"/>
    </row>
    <row r="25" spans="2:14" ht="37.9" customHeight="1" x14ac:dyDescent="0.25">
      <c r="B25" s="211"/>
      <c r="C25" s="328"/>
      <c r="D25" s="328"/>
      <c r="E25" s="328"/>
      <c r="F25" s="328"/>
      <c r="G25" s="328"/>
      <c r="H25" s="328"/>
      <c r="I25" s="328"/>
      <c r="J25" s="328"/>
      <c r="K25" s="328"/>
      <c r="L25" s="210"/>
      <c r="N25" s="209"/>
    </row>
    <row r="26" spans="2:14" x14ac:dyDescent="0.25">
      <c r="B26" s="211"/>
      <c r="C26" s="213"/>
      <c r="D26" s="213"/>
      <c r="E26" s="213"/>
      <c r="F26" s="213"/>
      <c r="G26" s="213"/>
      <c r="H26" s="213"/>
      <c r="I26" s="213"/>
      <c r="J26" s="213"/>
      <c r="K26" s="213"/>
      <c r="L26" s="210"/>
    </row>
    <row r="27" spans="2:14" x14ac:dyDescent="0.25">
      <c r="B27" s="211"/>
      <c r="C27" s="329" t="s">
        <v>5</v>
      </c>
      <c r="D27" s="329"/>
      <c r="E27" s="329"/>
      <c r="F27" s="329"/>
      <c r="G27" s="329"/>
      <c r="H27" s="329"/>
      <c r="I27" s="329"/>
      <c r="J27" s="329"/>
      <c r="K27" s="329"/>
      <c r="L27" s="210"/>
    </row>
    <row r="28" spans="2:14" x14ac:dyDescent="0.25">
      <c r="B28" s="211"/>
      <c r="C28" s="216"/>
      <c r="D28" s="216"/>
      <c r="E28" s="216"/>
      <c r="F28" s="216"/>
      <c r="G28" s="216"/>
      <c r="H28" s="216"/>
      <c r="I28" s="216"/>
      <c r="J28" s="216"/>
      <c r="K28" s="216"/>
      <c r="L28" s="210"/>
    </row>
    <row r="29" spans="2:14" ht="230.1" customHeight="1" x14ac:dyDescent="0.25">
      <c r="B29" s="211"/>
      <c r="C29" s="328" t="s">
        <v>201</v>
      </c>
      <c r="D29" s="328"/>
      <c r="E29" s="328"/>
      <c r="F29" s="328"/>
      <c r="G29" s="328"/>
      <c r="H29" s="328"/>
      <c r="I29" s="328"/>
      <c r="J29" s="328"/>
      <c r="K29" s="328"/>
      <c r="L29" s="210"/>
    </row>
    <row r="30" spans="2:14" x14ac:dyDescent="0.25">
      <c r="B30" s="211"/>
      <c r="C30" s="216"/>
      <c r="D30" s="216"/>
      <c r="E30" s="216"/>
      <c r="F30" s="216"/>
      <c r="G30" s="216"/>
      <c r="H30" s="216"/>
      <c r="I30" s="216"/>
      <c r="J30" s="216"/>
      <c r="K30" s="216"/>
      <c r="L30" s="210"/>
      <c r="N30" s="229"/>
    </row>
    <row r="31" spans="2:14" x14ac:dyDescent="0.25">
      <c r="B31" s="211"/>
      <c r="C31" s="330" t="s">
        <v>6</v>
      </c>
      <c r="D31" s="330"/>
      <c r="E31" s="330"/>
      <c r="F31" s="330"/>
      <c r="G31" s="330"/>
      <c r="H31" s="330"/>
      <c r="I31" s="330"/>
      <c r="J31" s="330"/>
      <c r="K31" s="330"/>
      <c r="L31" s="210"/>
    </row>
    <row r="32" spans="2:14" x14ac:dyDescent="0.25">
      <c r="B32" s="211"/>
      <c r="C32" s="213"/>
      <c r="D32" s="226"/>
      <c r="E32" s="226"/>
      <c r="F32" s="226"/>
      <c r="G32" s="226"/>
      <c r="H32" s="226"/>
      <c r="I32" s="226"/>
      <c r="J32" s="226"/>
      <c r="K32" s="226"/>
      <c r="L32" s="210"/>
    </row>
    <row r="33" spans="2:14" ht="33" customHeight="1" thickBot="1" x14ac:dyDescent="0.3">
      <c r="B33" s="142"/>
      <c r="C33" s="145"/>
      <c r="D33" s="331" t="s">
        <v>194</v>
      </c>
      <c r="E33" s="331"/>
      <c r="F33" s="331"/>
      <c r="G33" s="331"/>
      <c r="H33" s="331"/>
      <c r="I33" s="331"/>
      <c r="J33" s="331"/>
      <c r="K33" s="331"/>
      <c r="L33" s="143"/>
      <c r="N33" s="227"/>
    </row>
    <row r="34" spans="2:14" ht="50.1" customHeight="1" thickTop="1" thickBot="1" x14ac:dyDescent="0.3">
      <c r="B34" s="314"/>
      <c r="C34" s="315"/>
      <c r="D34" s="146"/>
      <c r="E34" s="316"/>
      <c r="F34" s="332" t="s">
        <v>197</v>
      </c>
      <c r="G34" s="333"/>
      <c r="H34" s="333"/>
      <c r="I34" s="333"/>
      <c r="J34" s="333"/>
      <c r="K34" s="333"/>
      <c r="L34" s="317"/>
      <c r="N34" s="227"/>
    </row>
    <row r="35" spans="2:14" s="321" customFormat="1" ht="50.1" customHeight="1" thickTop="1" x14ac:dyDescent="0.2">
      <c r="B35" s="314"/>
      <c r="C35" s="315"/>
      <c r="D35" s="146"/>
      <c r="E35" s="318"/>
      <c r="F35" s="334" t="s">
        <v>202</v>
      </c>
      <c r="G35" s="334"/>
      <c r="H35" s="334"/>
      <c r="I35" s="334"/>
      <c r="J35" s="334"/>
      <c r="K35" s="334"/>
      <c r="L35" s="317"/>
      <c r="N35" s="322"/>
    </row>
    <row r="36" spans="2:14" s="321" customFormat="1" ht="50.1" customHeight="1" x14ac:dyDescent="0.2">
      <c r="B36" s="314"/>
      <c r="C36" s="315"/>
      <c r="D36" s="146"/>
      <c r="E36" s="325"/>
      <c r="F36" s="334"/>
      <c r="G36" s="334"/>
      <c r="H36" s="334"/>
      <c r="I36" s="334"/>
      <c r="J36" s="334"/>
      <c r="K36" s="334"/>
      <c r="L36" s="317"/>
      <c r="N36" s="322"/>
    </row>
    <row r="37" spans="2:14" ht="66" customHeight="1" x14ac:dyDescent="0.25">
      <c r="B37" s="314"/>
      <c r="C37" s="315"/>
      <c r="D37" s="146"/>
      <c r="E37" s="319"/>
      <c r="F37" s="334" t="s">
        <v>198</v>
      </c>
      <c r="G37" s="333"/>
      <c r="H37" s="333"/>
      <c r="I37" s="333"/>
      <c r="J37" s="333"/>
      <c r="K37" s="333"/>
      <c r="L37" s="317"/>
      <c r="N37" s="227"/>
    </row>
    <row r="38" spans="2:14" ht="15" customHeight="1" x14ac:dyDescent="0.25">
      <c r="B38" s="211"/>
      <c r="C38" s="228"/>
      <c r="D38" s="313"/>
      <c r="E38" s="313"/>
      <c r="F38" s="313"/>
      <c r="G38" s="313"/>
      <c r="H38" s="313"/>
      <c r="I38" s="313"/>
      <c r="J38" s="313"/>
      <c r="K38" s="313"/>
      <c r="L38" s="210"/>
      <c r="N38" s="227"/>
    </row>
    <row r="39" spans="2:14" ht="126" customHeight="1" x14ac:dyDescent="0.25">
      <c r="B39" s="211"/>
      <c r="C39" s="228"/>
      <c r="D39" s="328" t="s">
        <v>211</v>
      </c>
      <c r="E39" s="328"/>
      <c r="F39" s="328"/>
      <c r="G39" s="328"/>
      <c r="H39" s="328"/>
      <c r="I39" s="328"/>
      <c r="J39" s="328"/>
      <c r="K39" s="328"/>
      <c r="L39" s="210"/>
      <c r="N39" s="227"/>
    </row>
    <row r="40" spans="2:14" ht="85.5" customHeight="1" x14ac:dyDescent="0.25">
      <c r="B40" s="211"/>
      <c r="C40" s="228"/>
      <c r="D40" s="328" t="s">
        <v>212</v>
      </c>
      <c r="E40" s="328"/>
      <c r="F40" s="328"/>
      <c r="G40" s="328"/>
      <c r="H40" s="328"/>
      <c r="I40" s="328"/>
      <c r="J40" s="328"/>
      <c r="K40" s="328"/>
      <c r="L40" s="210"/>
      <c r="N40" s="227"/>
    </row>
    <row r="41" spans="2:14" ht="55.5" customHeight="1" x14ac:dyDescent="0.25">
      <c r="B41" s="211"/>
      <c r="C41" s="228"/>
      <c r="D41" s="328" t="s">
        <v>207</v>
      </c>
      <c r="E41" s="328"/>
      <c r="F41" s="328"/>
      <c r="G41" s="328"/>
      <c r="H41" s="328"/>
      <c r="I41" s="328"/>
      <c r="J41" s="328"/>
      <c r="K41" s="328"/>
      <c r="L41" s="210"/>
      <c r="N41" s="227"/>
    </row>
    <row r="42" spans="2:14" ht="113.25" customHeight="1" x14ac:dyDescent="0.25">
      <c r="B42" s="211"/>
      <c r="C42" s="228"/>
      <c r="D42" s="328" t="s">
        <v>208</v>
      </c>
      <c r="E42" s="328"/>
      <c r="F42" s="328"/>
      <c r="G42" s="328"/>
      <c r="H42" s="328"/>
      <c r="I42" s="328"/>
      <c r="J42" s="328"/>
      <c r="K42" s="328"/>
      <c r="L42" s="210"/>
      <c r="N42" s="227"/>
    </row>
    <row r="43" spans="2:14" ht="98.25" customHeight="1" x14ac:dyDescent="0.25">
      <c r="B43" s="211"/>
      <c r="C43" s="228"/>
      <c r="D43" s="328" t="s">
        <v>209</v>
      </c>
      <c r="E43" s="328"/>
      <c r="F43" s="328"/>
      <c r="G43" s="328"/>
      <c r="H43" s="328"/>
      <c r="I43" s="328"/>
      <c r="J43" s="328"/>
      <c r="K43" s="328"/>
      <c r="L43" s="210"/>
      <c r="N43" s="227"/>
    </row>
    <row r="44" spans="2:14" ht="71.25" customHeight="1" x14ac:dyDescent="0.25">
      <c r="B44" s="211"/>
      <c r="C44" s="228"/>
      <c r="D44" s="328" t="s">
        <v>210</v>
      </c>
      <c r="E44" s="328"/>
      <c r="F44" s="328"/>
      <c r="G44" s="328"/>
      <c r="H44" s="328"/>
      <c r="I44" s="328"/>
      <c r="J44" s="328"/>
      <c r="K44" s="328"/>
      <c r="L44" s="210"/>
      <c r="N44" s="227"/>
    </row>
    <row r="45" spans="2:14" x14ac:dyDescent="0.25">
      <c r="B45" s="211"/>
      <c r="C45" s="213"/>
      <c r="D45" s="226"/>
      <c r="E45" s="226"/>
      <c r="F45" s="226"/>
      <c r="G45" s="226"/>
      <c r="H45" s="226"/>
      <c r="I45" s="226"/>
      <c r="J45" s="226"/>
      <c r="K45" s="226"/>
      <c r="L45" s="210"/>
    </row>
    <row r="46" spans="2:14" ht="61.9" customHeight="1" x14ac:dyDescent="0.25">
      <c r="B46" s="211"/>
      <c r="C46" s="221"/>
      <c r="D46" s="328" t="s">
        <v>139</v>
      </c>
      <c r="E46" s="328"/>
      <c r="F46" s="328"/>
      <c r="G46" s="328"/>
      <c r="H46" s="328"/>
      <c r="I46" s="328"/>
      <c r="J46" s="328"/>
      <c r="K46" s="328"/>
      <c r="L46" s="210"/>
    </row>
    <row r="47" spans="2:14" ht="32.450000000000003" customHeight="1" x14ac:dyDescent="0.25">
      <c r="B47" s="211"/>
      <c r="C47" s="221"/>
      <c r="D47" s="328" t="s">
        <v>7</v>
      </c>
      <c r="E47" s="328"/>
      <c r="F47" s="328"/>
      <c r="G47" s="328"/>
      <c r="H47" s="328"/>
      <c r="I47" s="328"/>
      <c r="J47" s="328"/>
      <c r="K47" s="328"/>
      <c r="L47" s="210"/>
    </row>
    <row r="48" spans="2:14" ht="33.6" customHeight="1" x14ac:dyDescent="0.25">
      <c r="B48" s="211"/>
      <c r="C48" s="221"/>
      <c r="D48" s="223"/>
      <c r="E48" s="219"/>
      <c r="F48" s="337" t="s">
        <v>119</v>
      </c>
      <c r="G48" s="337"/>
      <c r="H48" s="337"/>
      <c r="I48" s="337"/>
      <c r="J48" s="337"/>
      <c r="K48" s="337"/>
      <c r="L48" s="210"/>
    </row>
    <row r="49" spans="2:22" ht="32.25" customHeight="1" x14ac:dyDescent="0.25">
      <c r="B49" s="211"/>
      <c r="C49" s="221"/>
      <c r="D49" s="223"/>
      <c r="E49" s="225"/>
      <c r="F49" s="337" t="s">
        <v>177</v>
      </c>
      <c r="G49" s="337"/>
      <c r="H49" s="337"/>
      <c r="I49" s="337"/>
      <c r="J49" s="337"/>
      <c r="K49" s="337"/>
      <c r="L49" s="210"/>
    </row>
    <row r="50" spans="2:22" ht="92.25" customHeight="1" x14ac:dyDescent="0.25">
      <c r="B50" s="211"/>
      <c r="C50" s="221"/>
      <c r="D50" s="223"/>
      <c r="E50" s="224"/>
      <c r="F50" s="337" t="s">
        <v>8</v>
      </c>
      <c r="G50" s="337"/>
      <c r="H50" s="337"/>
      <c r="I50" s="337"/>
      <c r="J50" s="337"/>
      <c r="K50" s="337"/>
      <c r="L50" s="210"/>
    </row>
    <row r="51" spans="2:22" ht="23.25" customHeight="1" x14ac:dyDescent="0.25">
      <c r="B51" s="211"/>
      <c r="C51" s="221"/>
      <c r="D51" s="223"/>
      <c r="E51" s="222"/>
      <c r="F51" s="337" t="s">
        <v>9</v>
      </c>
      <c r="G51" s="337"/>
      <c r="H51" s="337"/>
      <c r="I51" s="337"/>
      <c r="J51" s="337"/>
      <c r="K51" s="337"/>
      <c r="L51" s="210"/>
    </row>
    <row r="52" spans="2:22" ht="45.75" customHeight="1" x14ac:dyDescent="0.25">
      <c r="B52" s="211"/>
      <c r="C52" s="221"/>
      <c r="D52" s="328" t="s">
        <v>178</v>
      </c>
      <c r="E52" s="328"/>
      <c r="F52" s="328"/>
      <c r="G52" s="328"/>
      <c r="H52" s="328"/>
      <c r="I52" s="328"/>
      <c r="J52" s="328"/>
      <c r="K52" s="328"/>
      <c r="L52" s="210"/>
    </row>
    <row r="53" spans="2:22" x14ac:dyDescent="0.25">
      <c r="B53" s="211"/>
      <c r="C53" s="213"/>
      <c r="D53" s="213"/>
      <c r="E53" s="213"/>
      <c r="F53" s="213"/>
      <c r="G53" s="213"/>
      <c r="H53" s="213"/>
      <c r="I53" s="213"/>
      <c r="J53" s="213"/>
      <c r="K53" s="213"/>
      <c r="L53" s="210"/>
    </row>
    <row r="54" spans="2:22" s="141" customFormat="1" ht="82.5" customHeight="1" x14ac:dyDescent="0.25">
      <c r="B54" s="142"/>
      <c r="C54" s="331" t="s">
        <v>147</v>
      </c>
      <c r="D54" s="331"/>
      <c r="E54" s="331"/>
      <c r="F54" s="331"/>
      <c r="G54" s="331"/>
      <c r="H54" s="331"/>
      <c r="I54" s="331"/>
      <c r="J54" s="331"/>
      <c r="K54" s="331"/>
      <c r="L54" s="143"/>
      <c r="N54" s="206"/>
      <c r="O54" s="206"/>
      <c r="P54" s="206"/>
      <c r="Q54" s="206"/>
      <c r="R54" s="206"/>
      <c r="S54" s="206"/>
      <c r="T54" s="206"/>
      <c r="U54" s="206"/>
      <c r="V54" s="206"/>
    </row>
    <row r="55" spans="2:22" s="141" customFormat="1" x14ac:dyDescent="0.25">
      <c r="B55" s="142"/>
      <c r="C55" s="157"/>
      <c r="D55" s="267"/>
      <c r="E55" s="267"/>
      <c r="F55" s="267"/>
      <c r="G55" s="267"/>
      <c r="H55" s="267"/>
      <c r="I55" s="267"/>
      <c r="J55" s="267"/>
      <c r="K55" s="267"/>
      <c r="L55" s="143"/>
      <c r="N55" s="263"/>
    </row>
    <row r="56" spans="2:22" s="141" customFormat="1" ht="48" customHeight="1" x14ac:dyDescent="0.25">
      <c r="B56" s="142"/>
      <c r="C56" s="271"/>
      <c r="D56" s="335" t="s">
        <v>217</v>
      </c>
      <c r="E56" s="335"/>
      <c r="F56" s="335"/>
      <c r="G56" s="335"/>
      <c r="H56" s="335"/>
      <c r="I56" s="335"/>
      <c r="J56" s="335"/>
      <c r="K56" s="335"/>
      <c r="L56" s="143"/>
      <c r="N56" s="263"/>
    </row>
    <row r="57" spans="2:22" s="141" customFormat="1" x14ac:dyDescent="0.25">
      <c r="B57" s="142"/>
      <c r="C57" s="157"/>
      <c r="D57" s="320"/>
      <c r="E57" s="320"/>
      <c r="F57" s="320"/>
      <c r="G57" s="320"/>
      <c r="H57" s="320"/>
      <c r="I57" s="320"/>
      <c r="J57" s="320"/>
      <c r="K57" s="320"/>
      <c r="L57" s="143"/>
      <c r="N57" s="263"/>
    </row>
    <row r="58" spans="2:22" s="141" customFormat="1" ht="47.25" customHeight="1" x14ac:dyDescent="0.25">
      <c r="B58" s="142"/>
      <c r="C58" s="272"/>
      <c r="D58" s="335" t="s">
        <v>141</v>
      </c>
      <c r="E58" s="335"/>
      <c r="F58" s="335"/>
      <c r="G58" s="335"/>
      <c r="H58" s="335"/>
      <c r="I58" s="335"/>
      <c r="J58" s="335"/>
      <c r="K58" s="335"/>
      <c r="L58" s="143"/>
      <c r="N58" s="263"/>
    </row>
    <row r="59" spans="2:22" s="141" customFormat="1" x14ac:dyDescent="0.25">
      <c r="B59" s="142"/>
      <c r="C59" s="157"/>
      <c r="D59" s="320"/>
      <c r="E59" s="320"/>
      <c r="F59" s="320"/>
      <c r="G59" s="320"/>
      <c r="H59" s="320"/>
      <c r="I59" s="320"/>
      <c r="J59" s="320"/>
      <c r="K59" s="320"/>
      <c r="L59" s="143"/>
    </row>
    <row r="60" spans="2:22" ht="65.25" customHeight="1" x14ac:dyDescent="0.25">
      <c r="B60" s="211"/>
      <c r="C60" s="220"/>
      <c r="D60" s="337" t="s">
        <v>145</v>
      </c>
      <c r="E60" s="337"/>
      <c r="F60" s="337"/>
      <c r="G60" s="337"/>
      <c r="H60" s="337"/>
      <c r="I60" s="337"/>
      <c r="J60" s="337"/>
      <c r="K60" s="337"/>
      <c r="L60" s="210"/>
    </row>
    <row r="61" spans="2:22" s="141" customFormat="1" x14ac:dyDescent="0.25">
      <c r="B61" s="142"/>
      <c r="C61" s="157"/>
      <c r="D61" s="157"/>
      <c r="E61" s="157"/>
      <c r="F61" s="157"/>
      <c r="G61" s="157"/>
      <c r="H61" s="157"/>
      <c r="I61" s="157"/>
      <c r="J61" s="157"/>
      <c r="K61" s="157"/>
      <c r="L61" s="143"/>
    </row>
    <row r="62" spans="2:22" ht="46.15" customHeight="1" x14ac:dyDescent="0.25">
      <c r="B62" s="211"/>
      <c r="C62" s="336" t="s">
        <v>146</v>
      </c>
      <c r="D62" s="336"/>
      <c r="E62" s="336"/>
      <c r="F62" s="336"/>
      <c r="G62" s="336"/>
      <c r="H62" s="336"/>
      <c r="I62" s="336"/>
      <c r="J62" s="336"/>
      <c r="K62" s="336"/>
      <c r="L62" s="210"/>
    </row>
    <row r="63" spans="2:22" ht="46.15" customHeight="1" x14ac:dyDescent="0.25">
      <c r="B63" s="211"/>
      <c r="C63" s="213"/>
      <c r="D63" s="219"/>
      <c r="E63" s="339" t="s">
        <v>125</v>
      </c>
      <c r="F63" s="339"/>
      <c r="G63" s="339"/>
      <c r="H63" s="339"/>
      <c r="I63" s="339"/>
      <c r="J63" s="339"/>
      <c r="K63" s="339"/>
      <c r="L63" s="210"/>
    </row>
    <row r="64" spans="2:22" ht="45.6" customHeight="1" x14ac:dyDescent="0.25">
      <c r="B64" s="211"/>
      <c r="C64" s="213"/>
      <c r="D64" s="218"/>
      <c r="E64" s="339" t="s">
        <v>140</v>
      </c>
      <c r="F64" s="339"/>
      <c r="G64" s="339"/>
      <c r="H64" s="339"/>
      <c r="I64" s="339"/>
      <c r="J64" s="339"/>
      <c r="K64" s="339"/>
      <c r="L64" s="210"/>
    </row>
    <row r="65" spans="2:14" ht="45" customHeight="1" x14ac:dyDescent="0.25">
      <c r="B65" s="211"/>
      <c r="C65" s="213"/>
      <c r="D65" s="217"/>
      <c r="E65" s="339" t="s">
        <v>117</v>
      </c>
      <c r="F65" s="339"/>
      <c r="G65" s="339"/>
      <c r="H65" s="339"/>
      <c r="I65" s="339"/>
      <c r="J65" s="339"/>
      <c r="K65" s="339"/>
      <c r="L65" s="210"/>
    </row>
    <row r="66" spans="2:14" x14ac:dyDescent="0.25">
      <c r="B66" s="211"/>
      <c r="C66" s="213"/>
      <c r="D66" s="215"/>
      <c r="E66" s="215"/>
      <c r="F66" s="214"/>
      <c r="G66" s="214"/>
      <c r="H66" s="214"/>
      <c r="I66" s="214"/>
      <c r="J66" s="214"/>
      <c r="K66" s="214"/>
      <c r="L66" s="210"/>
    </row>
    <row r="67" spans="2:14" x14ac:dyDescent="0.25">
      <c r="B67" s="211"/>
      <c r="C67" s="213"/>
      <c r="D67" s="212"/>
      <c r="E67" s="212"/>
      <c r="F67" s="212"/>
      <c r="G67" s="212"/>
      <c r="H67" s="212"/>
      <c r="I67" s="212"/>
      <c r="J67" s="212"/>
      <c r="K67" s="212"/>
      <c r="L67" s="210"/>
    </row>
    <row r="68" spans="2:14" ht="17.45" customHeight="1" x14ac:dyDescent="0.25">
      <c r="B68" s="211"/>
      <c r="C68" s="329" t="s">
        <v>10</v>
      </c>
      <c r="D68" s="329"/>
      <c r="E68" s="329"/>
      <c r="F68" s="329"/>
      <c r="G68" s="329"/>
      <c r="H68" s="329"/>
      <c r="I68" s="329"/>
      <c r="J68" s="329"/>
      <c r="K68" s="329"/>
      <c r="L68" s="210"/>
    </row>
    <row r="69" spans="2:14" ht="30" customHeight="1" x14ac:dyDescent="0.25">
      <c r="B69" s="211"/>
      <c r="C69" s="328" t="s">
        <v>203</v>
      </c>
      <c r="D69" s="328"/>
      <c r="E69" s="328"/>
      <c r="F69" s="328"/>
      <c r="G69" s="328"/>
      <c r="H69" s="328"/>
      <c r="I69" s="328"/>
      <c r="J69" s="328"/>
      <c r="K69" s="328"/>
      <c r="L69" s="210"/>
      <c r="N69" s="209"/>
    </row>
    <row r="70" spans="2:14" ht="15" customHeight="1" x14ac:dyDescent="0.25">
      <c r="B70" s="211"/>
      <c r="C70" s="304"/>
      <c r="D70" s="304"/>
      <c r="E70" s="304"/>
      <c r="F70" s="304"/>
      <c r="G70" s="304"/>
      <c r="H70" s="304"/>
      <c r="I70" s="304"/>
      <c r="J70" s="304"/>
      <c r="K70" s="304"/>
      <c r="L70" s="210"/>
      <c r="N70" s="209"/>
    </row>
    <row r="71" spans="2:14" ht="105" customHeight="1" x14ac:dyDescent="0.25">
      <c r="B71" s="211"/>
      <c r="C71" s="305"/>
      <c r="D71" s="331" t="s">
        <v>204</v>
      </c>
      <c r="E71" s="331"/>
      <c r="F71" s="331"/>
      <c r="G71" s="331"/>
      <c r="H71" s="331"/>
      <c r="I71" s="331"/>
      <c r="J71" s="331"/>
      <c r="K71" s="331"/>
      <c r="L71" s="210"/>
      <c r="N71" s="209"/>
    </row>
    <row r="72" spans="2:14" x14ac:dyDescent="0.25">
      <c r="B72" s="208"/>
      <c r="C72" s="338"/>
      <c r="D72" s="338"/>
      <c r="E72" s="338"/>
      <c r="F72" s="338"/>
      <c r="G72" s="338"/>
      <c r="H72" s="338"/>
      <c r="I72" s="338"/>
      <c r="J72" s="338"/>
      <c r="K72" s="338"/>
      <c r="L72" s="207"/>
    </row>
  </sheetData>
  <mergeCells count="34">
    <mergeCell ref="D71:K71"/>
    <mergeCell ref="C68:K68"/>
    <mergeCell ref="C69:K69"/>
    <mergeCell ref="C72:K72"/>
    <mergeCell ref="D60:K60"/>
    <mergeCell ref="E63:K63"/>
    <mergeCell ref="E64:K64"/>
    <mergeCell ref="E65:K65"/>
    <mergeCell ref="D47:K47"/>
    <mergeCell ref="F48:K48"/>
    <mergeCell ref="F49:K49"/>
    <mergeCell ref="F50:K50"/>
    <mergeCell ref="F51:K51"/>
    <mergeCell ref="D52:K52"/>
    <mergeCell ref="C54:K54"/>
    <mergeCell ref="D56:K56"/>
    <mergeCell ref="D58:K58"/>
    <mergeCell ref="C62:K62"/>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zoomScale="80" zoomScaleNormal="80" workbookViewId="0"/>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7"/>
    <col min="22" max="22" width="8.7109375" style="326"/>
    <col min="23" max="16384" width="8.7109375" style="4"/>
  </cols>
  <sheetData>
    <row r="2" spans="3:22" x14ac:dyDescent="0.2">
      <c r="U2" s="87">
        <v>4</v>
      </c>
      <c r="V2" s="326">
        <v>-1.5</v>
      </c>
    </row>
    <row r="3" spans="3:22" ht="12.75" customHeight="1" x14ac:dyDescent="0.2">
      <c r="D3" s="340" t="s">
        <v>118</v>
      </c>
      <c r="E3" s="341"/>
      <c r="F3" s="342"/>
      <c r="H3" s="302"/>
      <c r="I3" s="302"/>
      <c r="J3" s="302"/>
      <c r="K3" s="302"/>
      <c r="U3" s="87">
        <v>7</v>
      </c>
      <c r="V3" s="326">
        <v>-1.48</v>
      </c>
    </row>
    <row r="4" spans="3:22" ht="13.5" customHeight="1" thickBot="1" x14ac:dyDescent="0.25">
      <c r="D4" s="156" t="s">
        <v>11</v>
      </c>
      <c r="E4" s="7"/>
      <c r="F4" s="29" t="s">
        <v>116</v>
      </c>
      <c r="H4" s="302"/>
      <c r="I4" s="302"/>
      <c r="J4" s="302"/>
      <c r="K4" s="302"/>
      <c r="V4" s="326">
        <v>-1.46</v>
      </c>
    </row>
    <row r="5" spans="3:22" ht="14.25" customHeight="1" thickTop="1" thickBot="1" x14ac:dyDescent="0.25">
      <c r="D5" s="155" t="s">
        <v>196</v>
      </c>
      <c r="E5" s="193"/>
      <c r="F5" s="139">
        <v>4</v>
      </c>
      <c r="H5" s="302"/>
      <c r="I5" s="302"/>
      <c r="J5" s="302"/>
      <c r="K5" s="302"/>
      <c r="V5" s="326">
        <v>-1.44</v>
      </c>
    </row>
    <row r="6" spans="3:22" ht="14.45" customHeight="1" thickTop="1" thickBot="1" x14ac:dyDescent="0.25">
      <c r="C6" s="310" t="s">
        <v>189</v>
      </c>
      <c r="D6" s="155" t="s">
        <v>128</v>
      </c>
      <c r="E6" s="201"/>
      <c r="F6" s="244">
        <v>0</v>
      </c>
      <c r="H6" s="302"/>
      <c r="I6" s="302"/>
      <c r="J6" s="302"/>
      <c r="K6" s="302"/>
      <c r="V6" s="326">
        <v>-1.42</v>
      </c>
    </row>
    <row r="7" spans="3:22" ht="14.25" customHeight="1" thickTop="1" thickBot="1" x14ac:dyDescent="0.25">
      <c r="C7" s="310" t="s">
        <v>188</v>
      </c>
      <c r="D7" s="176" t="s">
        <v>129</v>
      </c>
      <c r="E7" s="177"/>
      <c r="F7" s="140">
        <v>0</v>
      </c>
      <c r="H7" s="302"/>
      <c r="I7" s="302"/>
      <c r="J7" s="302"/>
      <c r="K7" s="302"/>
      <c r="V7" s="326">
        <v>-1.4</v>
      </c>
    </row>
    <row r="8" spans="3:22" ht="13.5" thickTop="1" x14ac:dyDescent="0.2">
      <c r="D8" s="5"/>
      <c r="F8" s="6"/>
      <c r="V8" s="326">
        <v>-1.38</v>
      </c>
    </row>
    <row r="9" spans="3:22" ht="18" customHeight="1" x14ac:dyDescent="0.2">
      <c r="D9" s="5"/>
      <c r="F9" s="6"/>
      <c r="H9" s="366" t="s">
        <v>124</v>
      </c>
      <c r="I9" s="358"/>
      <c r="J9" s="359"/>
      <c r="K9" s="265"/>
      <c r="V9" s="326">
        <v>-1.3599999999999999</v>
      </c>
    </row>
    <row r="10" spans="3:22" ht="29.45" customHeight="1" x14ac:dyDescent="0.2">
      <c r="F10" s="193"/>
      <c r="H10" s="343" t="s">
        <v>123</v>
      </c>
      <c r="I10" s="344"/>
      <c r="J10" s="363" t="s">
        <v>148</v>
      </c>
      <c r="K10" s="266"/>
      <c r="P10" s="242"/>
      <c r="V10" s="326">
        <v>-1.3399999999999999</v>
      </c>
    </row>
    <row r="11" spans="3:22" ht="49.5" customHeight="1" x14ac:dyDescent="0.2">
      <c r="D11" s="245"/>
      <c r="E11" s="245"/>
      <c r="F11" s="245"/>
      <c r="H11" s="264" t="s">
        <v>122</v>
      </c>
      <c r="I11" s="264" t="str">
        <f>"Debt below 60% of GDP in T+"&amp;10+F5</f>
        <v>Debt below 60% of GDP in T+14</v>
      </c>
      <c r="J11" s="364"/>
      <c r="K11" s="370"/>
      <c r="L11" s="371"/>
      <c r="M11" s="371"/>
      <c r="N11" s="371"/>
      <c r="O11" s="371"/>
      <c r="P11" s="371"/>
      <c r="V11" s="326">
        <v>-1.3199999999999998</v>
      </c>
    </row>
    <row r="12" spans="3:22" ht="45" customHeight="1" x14ac:dyDescent="0.2">
      <c r="C12" s="310" t="s">
        <v>189</v>
      </c>
      <c r="D12" s="357" t="s">
        <v>213</v>
      </c>
      <c r="E12" s="358"/>
      <c r="F12" s="358"/>
      <c r="G12" s="359"/>
      <c r="H12" s="205" t="str">
        <f ca="1">IF(MIN(OFFSET('Adjustment scenario'!$F$77,0,$F$5,1,11))&gt;-3.05,"ok","Not met")</f>
        <v>ok</v>
      </c>
      <c r="I12" s="205" t="str">
        <f ca="1">IF(OFFSET('Adjustment scenario'!$F$57,0,$F$5+10,1,1)&lt;60,"ok","Not met")</f>
        <v>ok</v>
      </c>
      <c r="J12" s="205" t="str">
        <f>IF(AND($F$5=4,COUNTIF(G18:J18,"&gt;" &amp; F6)=0),"Not binding",IF(AND($F$5=7,COUNTIF(G18:M18,"&gt;" &amp; F6)=0),"Not binding","Binding"))</f>
        <v>Binding</v>
      </c>
      <c r="K12" s="368"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Please adjust cell F7 so that both DSA-based criteria are met</v>
      </c>
      <c r="L12" s="369"/>
      <c r="M12" s="369"/>
      <c r="N12" s="369"/>
      <c r="O12" s="369"/>
      <c r="P12" s="369"/>
      <c r="Q12" s="306"/>
      <c r="V12" s="326">
        <v>-1.3</v>
      </c>
    </row>
    <row r="13" spans="3:22" ht="45" customHeight="1" x14ac:dyDescent="0.2">
      <c r="C13" s="310" t="s">
        <v>188</v>
      </c>
      <c r="D13" s="357" t="s">
        <v>214</v>
      </c>
      <c r="E13" s="358"/>
      <c r="F13" s="358"/>
      <c r="G13" s="359"/>
      <c r="H13" s="205" t="str">
        <f ca="1">IF(MIN(OFFSET('Adjust. no safeguard'!$F$77,0,$F$5,1,11))&gt;-3.05,"ok","Not met")</f>
        <v>Not met</v>
      </c>
      <c r="I13" s="205" t="str">
        <f ca="1">IF(OFFSET('Adjust. no safeguard'!$F$57,0,$F$5+10,1,1)&lt;60,"ok","Not met")</f>
        <v>Not met</v>
      </c>
      <c r="J13" s="256"/>
      <c r="K13" s="368"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NOT OK
The adjustment in F7 does not ensure that the debt and deficit remain
below the Treaty reference values over the medium term</v>
      </c>
      <c r="L13" s="369"/>
      <c r="M13" s="369"/>
      <c r="N13" s="369"/>
      <c r="O13" s="369"/>
      <c r="P13" s="369"/>
      <c r="Q13" s="306"/>
      <c r="V13" s="326">
        <v>-1.28</v>
      </c>
    </row>
    <row r="14" spans="3:22" ht="34.5" customHeight="1" x14ac:dyDescent="0.2">
      <c r="D14" s="365" t="s">
        <v>205</v>
      </c>
      <c r="E14" s="365"/>
      <c r="F14" s="365"/>
      <c r="G14" s="365"/>
      <c r="H14" s="365"/>
      <c r="I14" s="365"/>
      <c r="J14" s="365"/>
      <c r="K14" s="257"/>
      <c r="L14" s="306"/>
      <c r="M14" s="306"/>
      <c r="V14" s="326">
        <v>-1.26</v>
      </c>
    </row>
    <row r="15" spans="3:22" ht="12.75" customHeight="1" x14ac:dyDescent="0.2">
      <c r="K15" s="257"/>
      <c r="L15" s="306"/>
      <c r="M15" s="306"/>
      <c r="V15" s="326">
        <v>-1.24</v>
      </c>
    </row>
    <row r="16" spans="3:22" ht="15.75" customHeight="1" x14ac:dyDescent="0.2">
      <c r="D16" s="238"/>
      <c r="E16" s="238"/>
      <c r="F16" s="238"/>
      <c r="G16" s="351" t="s">
        <v>143</v>
      </c>
      <c r="H16" s="352"/>
      <c r="I16" s="352"/>
      <c r="J16" s="353"/>
      <c r="K16" s="174"/>
      <c r="L16" s="306"/>
      <c r="M16" s="306"/>
      <c r="N16" s="174"/>
      <c r="O16" s="174"/>
      <c r="P16" s="165"/>
      <c r="V16" s="326">
        <v>-1.22</v>
      </c>
    </row>
    <row r="17" spans="4:22" ht="13.5" customHeight="1" x14ac:dyDescent="0.2">
      <c r="D17" s="238"/>
      <c r="E17" s="160"/>
      <c r="F17" s="166"/>
      <c r="G17" s="161">
        <v>2025</v>
      </c>
      <c r="H17" s="162">
        <v>2026</v>
      </c>
      <c r="I17" s="162">
        <v>2027</v>
      </c>
      <c r="J17" s="162">
        <v>2028</v>
      </c>
      <c r="K17" s="162">
        <v>2029</v>
      </c>
      <c r="L17" s="162">
        <v>2030</v>
      </c>
      <c r="M17" s="175">
        <v>2031</v>
      </c>
      <c r="N17" s="167"/>
      <c r="P17" s="167"/>
      <c r="V17" s="326">
        <v>-1.2</v>
      </c>
    </row>
    <row r="18" spans="4:22" ht="15" customHeight="1" x14ac:dyDescent="0.2">
      <c r="D18" s="354" t="s">
        <v>14</v>
      </c>
      <c r="E18" s="355"/>
      <c r="F18" s="356"/>
      <c r="G18" s="164">
        <f>'Adjustment scenario'!G12-'Adjustment scenario'!F12</f>
        <v>0.40000000000000013</v>
      </c>
      <c r="H18" s="171">
        <f>'Adjustment scenario'!H12-'Adjustment scenario'!G12</f>
        <v>0.39999999999999991</v>
      </c>
      <c r="I18" s="171">
        <f>'Adjustment scenario'!I12-'Adjustment scenario'!H12</f>
        <v>0.4</v>
      </c>
      <c r="J18" s="171">
        <f>'Adjustment scenario'!J12-'Adjustment scenario'!I12</f>
        <v>0.4</v>
      </c>
      <c r="K18" s="171">
        <f>'Adjustment scenario'!K12-'Adjustment scenario'!J12</f>
        <v>0</v>
      </c>
      <c r="L18" s="171">
        <f>'Adjustment scenario'!L12-'Adjustment scenario'!K12</f>
        <v>0</v>
      </c>
      <c r="M18" s="172">
        <f>'Adjustment scenario'!M12-'Adjustment scenario'!L12</f>
        <v>0</v>
      </c>
      <c r="N18" s="164"/>
      <c r="P18" s="164"/>
      <c r="V18" s="326">
        <v>-1.1800000000000002</v>
      </c>
    </row>
    <row r="19" spans="4:22" ht="15" customHeight="1" x14ac:dyDescent="0.2">
      <c r="D19" s="200" t="s">
        <v>20</v>
      </c>
      <c r="E19" s="194"/>
      <c r="F19" s="195"/>
      <c r="G19" s="196">
        <f>'Adjustment scenario'!G78</f>
        <v>-3.1613283700382944</v>
      </c>
      <c r="H19" s="197">
        <f>'Adjustment scenario'!H78</f>
        <v>-2.8178351887490072</v>
      </c>
      <c r="I19" s="197">
        <f>'Adjustment scenario'!I78</f>
        <v>-2.4791190095105371</v>
      </c>
      <c r="J19" s="197">
        <f>'Adjustment scenario'!J78</f>
        <v>-2.1378664522054605</v>
      </c>
      <c r="K19" s="197">
        <f>'Adjustment scenario'!K78</f>
        <v>-2.1784145955739214</v>
      </c>
      <c r="L19" s="197">
        <f>'Adjustment scenario'!L78</f>
        <v>-2.2130729351447007</v>
      </c>
      <c r="M19" s="199">
        <f>'Adjustment scenario'!M78</f>
        <v>-2.2469458279424419</v>
      </c>
      <c r="N19" s="183"/>
      <c r="P19" s="164"/>
      <c r="V19" s="326">
        <v>-1.1600000000000001</v>
      </c>
    </row>
    <row r="20" spans="4:22" ht="15" customHeight="1" x14ac:dyDescent="0.2">
      <c r="D20" s="348" t="s">
        <v>121</v>
      </c>
      <c r="E20" s="349"/>
      <c r="F20" s="350"/>
      <c r="G20" s="323"/>
      <c r="H20" s="324"/>
      <c r="I20" s="324"/>
      <c r="J20" s="324">
        <f>IF(F5=4,'Adjustment scenario'!J12,"")</f>
        <v>-0.36114499999999983</v>
      </c>
      <c r="K20" s="324"/>
      <c r="L20" s="324"/>
      <c r="M20" s="327" t="str">
        <f>IF(F5=7,'Adjustment scenario'!M12,"")</f>
        <v/>
      </c>
      <c r="N20" s="183"/>
      <c r="P20" s="164"/>
      <c r="V20" s="326">
        <v>-1.1400000000000001</v>
      </c>
    </row>
    <row r="21" spans="4:22" ht="15" customHeight="1" x14ac:dyDescent="0.2">
      <c r="D21" s="365" t="s">
        <v>144</v>
      </c>
      <c r="E21" s="365"/>
      <c r="F21" s="365"/>
      <c r="G21" s="365"/>
      <c r="H21" s="365"/>
      <c r="I21" s="365"/>
      <c r="J21" s="365"/>
      <c r="K21" s="198"/>
      <c r="L21" s="198"/>
      <c r="M21" s="198"/>
      <c r="N21" s="183"/>
      <c r="P21" s="164"/>
      <c r="V21" s="326">
        <v>-1.1200000000000001</v>
      </c>
    </row>
    <row r="22" spans="4:22" ht="15" customHeight="1" x14ac:dyDescent="0.2">
      <c r="D22" s="248"/>
      <c r="E22" s="248"/>
      <c r="F22" s="248"/>
      <c r="G22" s="255"/>
      <c r="H22" s="170"/>
      <c r="I22" s="170"/>
      <c r="J22" s="170"/>
      <c r="K22" s="197"/>
      <c r="L22" s="197"/>
      <c r="M22" s="197"/>
      <c r="N22" s="183"/>
      <c r="P22" s="164"/>
      <c r="V22" s="326">
        <v>-1.1000000000000001</v>
      </c>
    </row>
    <row r="23" spans="4:22" ht="15" customHeight="1" x14ac:dyDescent="0.2">
      <c r="D23" s="248"/>
      <c r="E23" s="248"/>
      <c r="F23" s="249"/>
      <c r="G23" s="351" t="s">
        <v>131</v>
      </c>
      <c r="H23" s="352"/>
      <c r="I23" s="352"/>
      <c r="J23" s="353"/>
      <c r="K23" s="197"/>
      <c r="L23" s="197"/>
      <c r="M23" s="170"/>
      <c r="N23" s="183"/>
      <c r="P23" s="164"/>
      <c r="V23" s="326">
        <v>-1.08</v>
      </c>
    </row>
    <row r="24" spans="4:22" ht="15" customHeight="1" x14ac:dyDescent="0.2">
      <c r="D24" s="254"/>
      <c r="E24" s="248"/>
      <c r="F24" s="249"/>
      <c r="G24" s="161">
        <v>2025</v>
      </c>
      <c r="H24" s="162">
        <v>2026</v>
      </c>
      <c r="I24" s="162">
        <v>2027</v>
      </c>
      <c r="J24" s="162">
        <v>2028</v>
      </c>
      <c r="K24" s="162">
        <v>2029</v>
      </c>
      <c r="L24" s="162">
        <v>2030</v>
      </c>
      <c r="M24" s="175">
        <v>2031</v>
      </c>
      <c r="N24" s="183"/>
      <c r="P24" s="164"/>
      <c r="V24" s="326">
        <v>-1.06</v>
      </c>
    </row>
    <row r="25" spans="4:22" ht="15" customHeight="1" x14ac:dyDescent="0.2">
      <c r="D25" s="354" t="s">
        <v>14</v>
      </c>
      <c r="E25" s="355"/>
      <c r="F25" s="356"/>
      <c r="G25" s="246">
        <f>'Adjust. no safeguard'!G12-'Adjust. no safeguard'!F12</f>
        <v>0</v>
      </c>
      <c r="H25" s="171">
        <f>'Adjust. no safeguard'!H12-'Adjust. no safeguard'!G12</f>
        <v>0</v>
      </c>
      <c r="I25" s="171">
        <f>'Adjust. no safeguard'!I12-'Adjust. no safeguard'!H12</f>
        <v>0</v>
      </c>
      <c r="J25" s="171">
        <f>'Adjust. no safeguard'!J12-'Adjust. no safeguard'!I12</f>
        <v>0</v>
      </c>
      <c r="K25" s="171">
        <f>'Adjust. no safeguard'!K12-'Adjust. no safeguard'!J12</f>
        <v>0</v>
      </c>
      <c r="L25" s="171">
        <f>'Adjust. no safeguard'!L12-'Adjust. no safeguard'!K12</f>
        <v>0</v>
      </c>
      <c r="M25" s="172">
        <f>'Adjust. no safeguard'!M12-'Adjust. no safeguard'!L12</f>
        <v>0</v>
      </c>
      <c r="N25" s="183"/>
      <c r="P25" s="164"/>
      <c r="V25" s="326">
        <v>-1.04</v>
      </c>
    </row>
    <row r="26" spans="4:22" ht="15" customHeight="1" x14ac:dyDescent="0.2">
      <c r="D26" s="247" t="s">
        <v>20</v>
      </c>
      <c r="E26" s="240"/>
      <c r="F26" s="241"/>
      <c r="G26" s="169">
        <f>'Adjust. no safeguard'!G78</f>
        <v>-3.5566659447890556</v>
      </c>
      <c r="H26" s="170">
        <f>'Adjust. no safeguard'!H78</f>
        <v>-3.6188873811931392</v>
      </c>
      <c r="I26" s="170">
        <f>'Adjust. no safeguard'!I78</f>
        <v>-3.7053784338665103</v>
      </c>
      <c r="J26" s="170">
        <f>'Adjust. no safeguard'!J78</f>
        <v>-3.8051160275909761</v>
      </c>
      <c r="K26" s="170">
        <f>'Adjust. no safeguard'!K78</f>
        <v>-3.9031479580855897</v>
      </c>
      <c r="L26" s="170">
        <f>'Adjust. no safeguard'!L78</f>
        <v>-3.9980356946272591</v>
      </c>
      <c r="M26" s="173">
        <f>'Adjust. no safeguard'!M78</f>
        <v>-4.0952798855706618</v>
      </c>
      <c r="N26" s="183"/>
      <c r="P26" s="164"/>
      <c r="V26" s="326">
        <v>-1.02</v>
      </c>
    </row>
    <row r="27" spans="4:22" ht="15" customHeight="1" x14ac:dyDescent="0.2">
      <c r="D27" s="360" t="s">
        <v>121</v>
      </c>
      <c r="E27" s="361"/>
      <c r="F27" s="362"/>
      <c r="G27" s="323"/>
      <c r="H27" s="324"/>
      <c r="I27" s="324"/>
      <c r="J27" s="324">
        <f>IF(F5=4,'Adjust. no safeguard'!J12,"")</f>
        <v>-1.9611449999999999</v>
      </c>
      <c r="K27" s="324"/>
      <c r="L27" s="324"/>
      <c r="M27" s="327" t="str">
        <f>IF(F5=7,'Adjust. no safeguard'!M12,"")</f>
        <v/>
      </c>
      <c r="N27" s="164"/>
      <c r="P27" s="168"/>
      <c r="V27" s="326">
        <v>-1</v>
      </c>
    </row>
    <row r="28" spans="4:22" x14ac:dyDescent="0.2">
      <c r="D28" s="250"/>
      <c r="E28" s="250"/>
      <c r="F28" s="250"/>
      <c r="G28" s="251"/>
      <c r="H28" s="164"/>
      <c r="Q28" s="163"/>
      <c r="V28" s="326">
        <v>-0.98</v>
      </c>
    </row>
    <row r="29" spans="4:22" x14ac:dyDescent="0.2">
      <c r="D29" s="252"/>
      <c r="E29" s="252"/>
      <c r="F29" s="252"/>
      <c r="G29" s="253"/>
      <c r="Q29" s="163"/>
      <c r="V29" s="326">
        <v>-0.96</v>
      </c>
    </row>
    <row r="30" spans="4:22" x14ac:dyDescent="0.2">
      <c r="J30" s="167"/>
      <c r="V30" s="326">
        <v>-0.94</v>
      </c>
    </row>
    <row r="31" spans="4:22" x14ac:dyDescent="0.2">
      <c r="G31" s="345" t="s">
        <v>130</v>
      </c>
      <c r="H31" s="346"/>
      <c r="J31" s="164"/>
      <c r="V31" s="326">
        <v>-0.91999999999999993</v>
      </c>
    </row>
    <row r="32" spans="4:22" x14ac:dyDescent="0.2">
      <c r="G32" s="148" t="s">
        <v>126</v>
      </c>
      <c r="H32" s="149" t="s">
        <v>127</v>
      </c>
      <c r="J32" s="164"/>
      <c r="V32" s="326">
        <v>-0.9</v>
      </c>
    </row>
    <row r="33" spans="4:22" x14ac:dyDescent="0.2">
      <c r="D33" s="178" t="s">
        <v>196</v>
      </c>
      <c r="E33" s="151"/>
      <c r="F33" s="152"/>
      <c r="G33" s="202">
        <v>4</v>
      </c>
      <c r="H33" s="202">
        <v>7</v>
      </c>
      <c r="J33" s="164"/>
      <c r="V33" s="326">
        <v>-0.88</v>
      </c>
    </row>
    <row r="34" spans="4:22" x14ac:dyDescent="0.2">
      <c r="D34" s="203" t="s">
        <v>121</v>
      </c>
      <c r="E34" s="153"/>
      <c r="F34" s="153"/>
      <c r="G34" s="204">
        <v>-0.36114499999999983</v>
      </c>
      <c r="H34" s="150">
        <v>-0.21114499999999992</v>
      </c>
      <c r="J34" s="164"/>
      <c r="V34" s="326">
        <v>-0.86</v>
      </c>
    </row>
    <row r="35" spans="4:22" ht="96" customHeight="1" x14ac:dyDescent="0.2">
      <c r="D35" s="347" t="s">
        <v>206</v>
      </c>
      <c r="E35" s="347"/>
      <c r="F35" s="347"/>
      <c r="G35" s="347"/>
      <c r="H35" s="347"/>
      <c r="J35" s="164"/>
      <c r="V35" s="326">
        <v>-0.84000000000000008</v>
      </c>
    </row>
    <row r="36" spans="4:22" ht="19.899999999999999" customHeight="1" x14ac:dyDescent="0.2">
      <c r="G36" s="367"/>
      <c r="H36" s="367"/>
      <c r="I36" s="367"/>
      <c r="J36" s="367"/>
      <c r="K36" s="367"/>
      <c r="L36" s="367"/>
      <c r="M36" s="367"/>
      <c r="N36" s="367"/>
      <c r="O36" s="367"/>
      <c r="V36" s="326">
        <v>-0.82</v>
      </c>
    </row>
    <row r="37" spans="4:22" x14ac:dyDescent="0.2">
      <c r="K37" s="163"/>
      <c r="V37" s="326">
        <v>-0.8</v>
      </c>
    </row>
    <row r="38" spans="4:22" x14ac:dyDescent="0.2">
      <c r="K38" s="163"/>
      <c r="V38" s="326">
        <v>-0.78</v>
      </c>
    </row>
    <row r="39" spans="4:22" ht="13.15" customHeight="1" x14ac:dyDescent="0.2">
      <c r="J39" s="164"/>
      <c r="V39" s="326">
        <v>-0.76</v>
      </c>
    </row>
    <row r="40" spans="4:22" x14ac:dyDescent="0.2">
      <c r="V40" s="326">
        <v>-0.74</v>
      </c>
    </row>
    <row r="41" spans="4:22" x14ac:dyDescent="0.2">
      <c r="V41" s="326">
        <v>-0.72</v>
      </c>
    </row>
    <row r="42" spans="4:22" x14ac:dyDescent="0.2">
      <c r="V42" s="326">
        <v>-0.7</v>
      </c>
    </row>
    <row r="43" spans="4:22" x14ac:dyDescent="0.2">
      <c r="V43" s="326">
        <v>-0.67999999999999994</v>
      </c>
    </row>
    <row r="44" spans="4:22" x14ac:dyDescent="0.2">
      <c r="V44" s="326">
        <v>-0.66</v>
      </c>
    </row>
    <row r="45" spans="4:22" x14ac:dyDescent="0.2">
      <c r="V45" s="326">
        <v>-0.64</v>
      </c>
    </row>
    <row r="46" spans="4:22" x14ac:dyDescent="0.2">
      <c r="V46" s="326">
        <v>-0.62</v>
      </c>
    </row>
    <row r="47" spans="4:22" x14ac:dyDescent="0.2">
      <c r="V47" s="326">
        <v>-0.6</v>
      </c>
    </row>
    <row r="48" spans="4:22" x14ac:dyDescent="0.2">
      <c r="V48" s="326">
        <v>-0.57999999999999996</v>
      </c>
    </row>
    <row r="49" spans="22:22" x14ac:dyDescent="0.2">
      <c r="V49" s="326">
        <v>-0.56000000000000005</v>
      </c>
    </row>
    <row r="50" spans="22:22" x14ac:dyDescent="0.2">
      <c r="V50" s="326">
        <v>-0.54</v>
      </c>
    </row>
    <row r="51" spans="22:22" x14ac:dyDescent="0.2">
      <c r="V51" s="326">
        <v>-0.52</v>
      </c>
    </row>
    <row r="52" spans="22:22" x14ac:dyDescent="0.2">
      <c r="V52" s="326">
        <v>-0.5</v>
      </c>
    </row>
    <row r="53" spans="22:22" x14ac:dyDescent="0.2">
      <c r="V53" s="326">
        <v>-0.48</v>
      </c>
    </row>
    <row r="54" spans="22:22" x14ac:dyDescent="0.2">
      <c r="V54" s="326">
        <v>-0.46</v>
      </c>
    </row>
    <row r="55" spans="22:22" x14ac:dyDescent="0.2">
      <c r="V55" s="326">
        <v>-0.44</v>
      </c>
    </row>
    <row r="56" spans="22:22" x14ac:dyDescent="0.2">
      <c r="V56" s="326">
        <v>-0.42</v>
      </c>
    </row>
    <row r="57" spans="22:22" x14ac:dyDescent="0.2">
      <c r="V57" s="326">
        <v>-0.4</v>
      </c>
    </row>
    <row r="58" spans="22:22" x14ac:dyDescent="0.2">
      <c r="V58" s="326">
        <v>-0.38</v>
      </c>
    </row>
    <row r="59" spans="22:22" x14ac:dyDescent="0.2">
      <c r="V59" s="326">
        <v>-0.36</v>
      </c>
    </row>
    <row r="60" spans="22:22" x14ac:dyDescent="0.2">
      <c r="V60" s="326">
        <v>-0.33999999999999997</v>
      </c>
    </row>
    <row r="61" spans="22:22" x14ac:dyDescent="0.2">
      <c r="V61" s="326">
        <v>-0.32</v>
      </c>
    </row>
    <row r="62" spans="22:22" x14ac:dyDescent="0.2">
      <c r="V62" s="326">
        <v>-0.3</v>
      </c>
    </row>
    <row r="63" spans="22:22" x14ac:dyDescent="0.2">
      <c r="V63" s="326">
        <v>-0.28000000000000003</v>
      </c>
    </row>
    <row r="64" spans="22:22" x14ac:dyDescent="0.2">
      <c r="V64" s="326">
        <v>-0.26</v>
      </c>
    </row>
    <row r="65" spans="22:22" x14ac:dyDescent="0.2">
      <c r="V65" s="326">
        <v>-0.24</v>
      </c>
    </row>
    <row r="66" spans="22:22" x14ac:dyDescent="0.2">
      <c r="V66" s="326">
        <v>-0.21999999999999997</v>
      </c>
    </row>
    <row r="67" spans="22:22" x14ac:dyDescent="0.2">
      <c r="V67" s="326">
        <v>-0.2</v>
      </c>
    </row>
    <row r="68" spans="22:22" x14ac:dyDescent="0.2">
      <c r="V68" s="326">
        <v>-0.18</v>
      </c>
    </row>
    <row r="69" spans="22:22" x14ac:dyDescent="0.2">
      <c r="V69" s="326">
        <v>-0.16</v>
      </c>
    </row>
    <row r="70" spans="22:22" x14ac:dyDescent="0.2">
      <c r="V70" s="326">
        <v>-0.14000000000000001</v>
      </c>
    </row>
    <row r="71" spans="22:22" x14ac:dyDescent="0.2">
      <c r="V71" s="326">
        <v>-0.12</v>
      </c>
    </row>
    <row r="72" spans="22:22" x14ac:dyDescent="0.2">
      <c r="V72" s="326">
        <v>-0.1</v>
      </c>
    </row>
    <row r="73" spans="22:22" x14ac:dyDescent="0.2">
      <c r="V73" s="326">
        <v>-8.0000000000000016E-2</v>
      </c>
    </row>
    <row r="74" spans="22:22" x14ac:dyDescent="0.2">
      <c r="V74" s="326">
        <v>-0.06</v>
      </c>
    </row>
    <row r="75" spans="22:22" x14ac:dyDescent="0.2">
      <c r="V75" s="326">
        <v>-3.999999999999998E-2</v>
      </c>
    </row>
    <row r="76" spans="22:22" x14ac:dyDescent="0.2">
      <c r="V76" s="326">
        <v>-2.0000000000000018E-2</v>
      </c>
    </row>
    <row r="77" spans="22:22" x14ac:dyDescent="0.2">
      <c r="V77" s="326">
        <v>0</v>
      </c>
    </row>
    <row r="78" spans="22:22" x14ac:dyDescent="0.2">
      <c r="V78" s="326">
        <v>0.02</v>
      </c>
    </row>
    <row r="79" spans="22:22" x14ac:dyDescent="0.2">
      <c r="V79" s="326">
        <v>0.04</v>
      </c>
    </row>
    <row r="80" spans="22:22" x14ac:dyDescent="0.2">
      <c r="V80" s="326">
        <v>0.06</v>
      </c>
    </row>
    <row r="81" spans="22:22" x14ac:dyDescent="0.2">
      <c r="V81" s="326">
        <v>0.08</v>
      </c>
    </row>
    <row r="82" spans="22:22" x14ac:dyDescent="0.2">
      <c r="V82" s="326">
        <v>0.1</v>
      </c>
    </row>
    <row r="83" spans="22:22" x14ac:dyDescent="0.2">
      <c r="V83" s="326">
        <v>0.12</v>
      </c>
    </row>
    <row r="84" spans="22:22" x14ac:dyDescent="0.2">
      <c r="V84" s="326">
        <v>0.14000000000000001</v>
      </c>
    </row>
    <row r="85" spans="22:22" x14ac:dyDescent="0.2">
      <c r="V85" s="326">
        <v>0.16000000000000003</v>
      </c>
    </row>
    <row r="86" spans="22:22" x14ac:dyDescent="0.2">
      <c r="V86" s="326">
        <v>0.18000000000000005</v>
      </c>
    </row>
    <row r="87" spans="22:22" x14ac:dyDescent="0.2">
      <c r="V87" s="326">
        <v>0.2</v>
      </c>
    </row>
    <row r="88" spans="22:22" x14ac:dyDescent="0.2">
      <c r="V88" s="326">
        <v>0.22</v>
      </c>
    </row>
    <row r="89" spans="22:22" x14ac:dyDescent="0.2">
      <c r="V89" s="326">
        <v>0.24</v>
      </c>
    </row>
    <row r="90" spans="22:22" x14ac:dyDescent="0.2">
      <c r="V90" s="326">
        <v>0.26</v>
      </c>
    </row>
    <row r="91" spans="22:22" x14ac:dyDescent="0.2">
      <c r="V91" s="326">
        <v>0.28000000000000003</v>
      </c>
    </row>
    <row r="92" spans="22:22" x14ac:dyDescent="0.2">
      <c r="V92" s="326">
        <v>0.3</v>
      </c>
    </row>
    <row r="93" spans="22:22" x14ac:dyDescent="0.2">
      <c r="V93" s="326">
        <v>0.31999999999999995</v>
      </c>
    </row>
    <row r="94" spans="22:22" x14ac:dyDescent="0.2">
      <c r="V94" s="326">
        <v>0.33999999999999997</v>
      </c>
    </row>
    <row r="95" spans="22:22" x14ac:dyDescent="0.2">
      <c r="V95" s="326">
        <v>0.36</v>
      </c>
    </row>
    <row r="96" spans="22:22" x14ac:dyDescent="0.2">
      <c r="V96" s="326">
        <v>0.38</v>
      </c>
    </row>
    <row r="97" spans="22:22" x14ac:dyDescent="0.2">
      <c r="V97" s="326">
        <v>0.4</v>
      </c>
    </row>
    <row r="98" spans="22:22" x14ac:dyDescent="0.2">
      <c r="V98" s="326">
        <v>0.42</v>
      </c>
    </row>
    <row r="99" spans="22:22" x14ac:dyDescent="0.2">
      <c r="V99" s="326">
        <v>0.43999999999999995</v>
      </c>
    </row>
    <row r="100" spans="22:22" x14ac:dyDescent="0.2">
      <c r="V100" s="326">
        <v>0.45999999999999996</v>
      </c>
    </row>
    <row r="101" spans="22:22" x14ac:dyDescent="0.2">
      <c r="V101" s="326">
        <v>0.48</v>
      </c>
    </row>
    <row r="102" spans="22:22" x14ac:dyDescent="0.2">
      <c r="V102" s="326">
        <v>0.5</v>
      </c>
    </row>
    <row r="103" spans="22:22" x14ac:dyDescent="0.2">
      <c r="V103" s="326">
        <v>0.52</v>
      </c>
    </row>
    <row r="104" spans="22:22" x14ac:dyDescent="0.2">
      <c r="V104" s="326">
        <v>0.54</v>
      </c>
    </row>
    <row r="105" spans="22:22" x14ac:dyDescent="0.2">
      <c r="V105" s="326">
        <v>0.56000000000000005</v>
      </c>
    </row>
    <row r="106" spans="22:22" x14ac:dyDescent="0.2">
      <c r="V106" s="326">
        <v>0.58000000000000007</v>
      </c>
    </row>
    <row r="107" spans="22:22" x14ac:dyDescent="0.2">
      <c r="V107" s="326">
        <v>0.60000000000000009</v>
      </c>
    </row>
    <row r="108" spans="22:22" x14ac:dyDescent="0.2">
      <c r="V108" s="326">
        <v>0.62000000000000011</v>
      </c>
    </row>
    <row r="109" spans="22:22" x14ac:dyDescent="0.2">
      <c r="V109" s="326">
        <v>0.6399999999999999</v>
      </c>
    </row>
    <row r="110" spans="22:22" x14ac:dyDescent="0.2">
      <c r="V110" s="326">
        <v>0.65999999999999992</v>
      </c>
    </row>
    <row r="111" spans="22:22" x14ac:dyDescent="0.2">
      <c r="V111" s="326">
        <v>0.67999999999999994</v>
      </c>
    </row>
    <row r="112" spans="22:22" x14ac:dyDescent="0.2">
      <c r="V112" s="326">
        <v>0.7</v>
      </c>
    </row>
    <row r="113" spans="22:22" x14ac:dyDescent="0.2">
      <c r="V113" s="326">
        <v>0.72</v>
      </c>
    </row>
    <row r="114" spans="22:22" x14ac:dyDescent="0.2">
      <c r="V114" s="326">
        <v>0.74</v>
      </c>
    </row>
    <row r="115" spans="22:22" x14ac:dyDescent="0.2">
      <c r="V115" s="326">
        <v>0.76</v>
      </c>
    </row>
    <row r="116" spans="22:22" x14ac:dyDescent="0.2">
      <c r="V116" s="326">
        <v>0.78</v>
      </c>
    </row>
    <row r="117" spans="22:22" x14ac:dyDescent="0.2">
      <c r="V117" s="326">
        <v>0.8</v>
      </c>
    </row>
    <row r="118" spans="22:22" x14ac:dyDescent="0.2">
      <c r="V118" s="326">
        <v>0.82000000000000006</v>
      </c>
    </row>
    <row r="119" spans="22:22" x14ac:dyDescent="0.2">
      <c r="V119" s="326">
        <v>0.84000000000000008</v>
      </c>
    </row>
    <row r="120" spans="22:22" x14ac:dyDescent="0.2">
      <c r="V120" s="326">
        <v>0.8600000000000001</v>
      </c>
    </row>
    <row r="121" spans="22:22" x14ac:dyDescent="0.2">
      <c r="V121" s="326">
        <v>0.87999999999999989</v>
      </c>
    </row>
    <row r="122" spans="22:22" x14ac:dyDescent="0.2">
      <c r="V122" s="326">
        <v>0.89999999999999991</v>
      </c>
    </row>
    <row r="123" spans="22:22" x14ac:dyDescent="0.2">
      <c r="V123" s="326">
        <v>0.91999999999999993</v>
      </c>
    </row>
    <row r="124" spans="22:22" x14ac:dyDescent="0.2">
      <c r="V124" s="326">
        <v>0.94</v>
      </c>
    </row>
    <row r="125" spans="22:22" x14ac:dyDescent="0.2">
      <c r="V125" s="326">
        <v>0.96</v>
      </c>
    </row>
    <row r="126" spans="22:22" x14ac:dyDescent="0.2">
      <c r="V126" s="326">
        <v>0.98</v>
      </c>
    </row>
    <row r="127" spans="22:22" x14ac:dyDescent="0.2">
      <c r="V127" s="326">
        <v>1</v>
      </c>
    </row>
    <row r="128" spans="22:22" x14ac:dyDescent="0.2">
      <c r="V128" s="326">
        <v>1.02</v>
      </c>
    </row>
    <row r="129" spans="22:22" x14ac:dyDescent="0.2">
      <c r="V129" s="326">
        <v>1.04</v>
      </c>
    </row>
    <row r="130" spans="22:22" x14ac:dyDescent="0.2">
      <c r="V130" s="326">
        <v>1.06</v>
      </c>
    </row>
    <row r="131" spans="22:22" x14ac:dyDescent="0.2">
      <c r="V131" s="326">
        <v>1.08</v>
      </c>
    </row>
    <row r="132" spans="22:22" x14ac:dyDescent="0.2">
      <c r="V132" s="326">
        <v>1.1000000000000001</v>
      </c>
    </row>
    <row r="133" spans="22:22" x14ac:dyDescent="0.2">
      <c r="V133" s="326">
        <v>1.1200000000000001</v>
      </c>
    </row>
    <row r="134" spans="22:22" x14ac:dyDescent="0.2">
      <c r="V134" s="326">
        <v>1.1399999999999999</v>
      </c>
    </row>
    <row r="135" spans="22:22" x14ac:dyDescent="0.2">
      <c r="V135" s="326">
        <v>1.1599999999999999</v>
      </c>
    </row>
    <row r="136" spans="22:22" x14ac:dyDescent="0.2">
      <c r="V136" s="326">
        <v>1.18</v>
      </c>
    </row>
    <row r="137" spans="22:22" x14ac:dyDescent="0.2">
      <c r="V137" s="326">
        <v>1.2</v>
      </c>
    </row>
    <row r="138" spans="22:22" x14ac:dyDescent="0.2">
      <c r="V138" s="326">
        <v>1.22</v>
      </c>
    </row>
    <row r="139" spans="22:22" x14ac:dyDescent="0.2">
      <c r="V139" s="326">
        <v>1.24</v>
      </c>
    </row>
    <row r="140" spans="22:22" x14ac:dyDescent="0.2">
      <c r="V140" s="326">
        <v>1.26</v>
      </c>
    </row>
    <row r="141" spans="22:22" x14ac:dyDescent="0.2">
      <c r="V141" s="326">
        <v>1.28</v>
      </c>
    </row>
    <row r="142" spans="22:22" x14ac:dyDescent="0.2">
      <c r="V142" s="326">
        <v>1.3</v>
      </c>
    </row>
    <row r="143" spans="22:22" x14ac:dyDescent="0.2">
      <c r="V143" s="326">
        <v>1.32</v>
      </c>
    </row>
    <row r="144" spans="22:22" x14ac:dyDescent="0.2">
      <c r="V144" s="326">
        <v>1.34</v>
      </c>
    </row>
    <row r="145" spans="22:22" x14ac:dyDescent="0.2">
      <c r="V145" s="326">
        <v>1.36</v>
      </c>
    </row>
    <row r="146" spans="22:22" x14ac:dyDescent="0.2">
      <c r="V146" s="326">
        <v>1.38</v>
      </c>
    </row>
    <row r="147" spans="22:22" x14ac:dyDescent="0.2">
      <c r="V147" s="326">
        <v>1.4</v>
      </c>
    </row>
    <row r="148" spans="22:22" x14ac:dyDescent="0.2">
      <c r="V148" s="326">
        <v>1.42</v>
      </c>
    </row>
    <row r="149" spans="22:22" x14ac:dyDescent="0.2">
      <c r="V149" s="326">
        <v>1.44</v>
      </c>
    </row>
    <row r="150" spans="22:22" x14ac:dyDescent="0.2">
      <c r="V150" s="326">
        <v>1.46</v>
      </c>
    </row>
    <row r="151" spans="22:22" x14ac:dyDescent="0.2">
      <c r="V151" s="326">
        <v>1.48</v>
      </c>
    </row>
    <row r="152" spans="22:22" x14ac:dyDescent="0.2">
      <c r="V152" s="326">
        <v>1.5</v>
      </c>
    </row>
  </sheetData>
  <mergeCells count="20">
    <mergeCell ref="G36:O36"/>
    <mergeCell ref="D14:J14"/>
    <mergeCell ref="K12:P12"/>
    <mergeCell ref="K13:P13"/>
    <mergeCell ref="K11:P11"/>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s>
  <conditionalFormatting sqref="L17:N27">
    <cfRule type="expression" dxfId="14" priority="25">
      <formula>$F$5=4</formula>
    </cfRule>
  </conditionalFormatting>
  <conditionalFormatting sqref="K17:N27">
    <cfRule type="expression" dxfId="13" priority="24">
      <formula>$F$5=4</formula>
    </cfRule>
  </conditionalFormatting>
  <conditionalFormatting sqref="K17:K20 K23:K27">
    <cfRule type="expression" dxfId="12" priority="26">
      <formula>$F$5=4</formula>
    </cfRule>
  </conditionalFormatting>
  <conditionalFormatting sqref="G19:J19">
    <cfRule type="cellIs" dxfId="11" priority="20" operator="lessThan">
      <formula>-1.55</formula>
    </cfRule>
  </conditionalFormatting>
  <conditionalFormatting sqref="K19:M19">
    <cfRule type="expression" dxfId="10" priority="19">
      <formula>AND($F$5=7,K19&lt;-1.55)</formula>
    </cfRule>
  </conditionalFormatting>
  <conditionalFormatting sqref="K13 C7 C13">
    <cfRule type="expression" dxfId="9" priority="9">
      <formula>AND($H$13="ok",$I$13="ok")</formula>
    </cfRule>
  </conditionalFormatting>
  <conditionalFormatting sqref="K12 C6 C12">
    <cfRule type="expression" dxfId="8"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65A84674-3C44-484B-935B-BD0C5B636377}">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09" customWidth="1"/>
    <col min="2" max="2" width="58.42578125" style="109" customWidth="1"/>
    <col min="3" max="6" width="8.7109375" style="109" customWidth="1"/>
    <col min="7" max="16384" width="8.85546875" style="109"/>
  </cols>
  <sheetData>
    <row r="1" spans="1:54" s="45" customFormat="1" ht="24.75" customHeight="1" x14ac:dyDescent="0.2">
      <c r="B1" s="102"/>
    </row>
    <row r="2" spans="1:54" s="45" customFormat="1" ht="11.25" customHeight="1" x14ac:dyDescent="0.2">
      <c r="B2" s="103"/>
    </row>
    <row r="3" spans="1:54" s="45" customFormat="1" ht="11.25" customHeight="1" x14ac:dyDescent="0.2">
      <c r="B3" s="104" t="s">
        <v>11</v>
      </c>
      <c r="C3" s="105" t="s">
        <v>116</v>
      </c>
    </row>
    <row r="4" spans="1:54" s="45" customFormat="1" ht="11.25" customHeight="1" x14ac:dyDescent="0.2">
      <c r="B4" s="106"/>
      <c r="C4" s="12"/>
    </row>
    <row r="5" spans="1:54" s="45" customFormat="1" ht="11.25" customHeight="1" x14ac:dyDescent="0.2">
      <c r="B5" s="107" t="s">
        <v>120</v>
      </c>
      <c r="C5" s="12">
        <v>2024</v>
      </c>
    </row>
    <row r="6" spans="1:54" x14ac:dyDescent="0.2">
      <c r="A6" s="45"/>
      <c r="B6" s="108" t="s">
        <v>22</v>
      </c>
      <c r="C6" s="243">
        <f>C5+'Criteria results'!$F$5</f>
        <v>2028</v>
      </c>
    </row>
    <row r="8" spans="1:54" s="110" customFormat="1" ht="12" customHeight="1" x14ac:dyDescent="0.2">
      <c r="B8" s="111" t="s">
        <v>23</v>
      </c>
      <c r="C8" s="112"/>
      <c r="D8" s="112"/>
      <c r="E8" s="112"/>
      <c r="F8" s="112"/>
      <c r="G8" s="112"/>
      <c r="H8" s="112"/>
      <c r="I8" s="112"/>
      <c r="J8" s="112"/>
      <c r="K8" s="112"/>
      <c r="L8" s="112"/>
      <c r="M8" s="112"/>
      <c r="N8" s="112"/>
      <c r="O8" s="112"/>
    </row>
    <row r="9" spans="1:54" x14ac:dyDescent="0.2">
      <c r="B9" s="45"/>
      <c r="C9" s="113">
        <v>2021</v>
      </c>
      <c r="D9" s="113">
        <v>2022</v>
      </c>
      <c r="E9" s="113">
        <v>2023</v>
      </c>
      <c r="F9" s="113">
        <v>2024</v>
      </c>
      <c r="G9" s="113">
        <v>2025</v>
      </c>
      <c r="H9" s="113">
        <v>2026</v>
      </c>
      <c r="I9" s="113">
        <v>2027</v>
      </c>
      <c r="J9" s="113">
        <v>2028</v>
      </c>
      <c r="K9" s="113">
        <v>2029</v>
      </c>
      <c r="L9" s="113">
        <v>2030</v>
      </c>
      <c r="M9" s="113">
        <v>2031</v>
      </c>
      <c r="N9" s="113">
        <v>2032</v>
      </c>
      <c r="O9" s="113">
        <v>2033</v>
      </c>
      <c r="P9" s="113">
        <v>2034</v>
      </c>
      <c r="Q9" s="113">
        <v>2035</v>
      </c>
      <c r="R9" s="113">
        <v>2036</v>
      </c>
      <c r="S9" s="113">
        <v>2037</v>
      </c>
      <c r="T9" s="113">
        <v>2038</v>
      </c>
      <c r="U9" s="113">
        <v>2039</v>
      </c>
      <c r="V9" s="113">
        <v>2040</v>
      </c>
      <c r="W9" s="113">
        <v>2041</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s="114" customFormat="1" x14ac:dyDescent="0.2">
      <c r="B10" s="115" t="s">
        <v>24</v>
      </c>
      <c r="C10" s="116"/>
      <c r="D10" s="116"/>
      <c r="E10" s="116"/>
      <c r="F10" s="116"/>
      <c r="G10" s="116"/>
      <c r="H10" s="116"/>
      <c r="I10" s="116"/>
      <c r="J10" s="116"/>
      <c r="K10" s="116"/>
      <c r="L10" s="116"/>
      <c r="M10" s="116"/>
      <c r="N10" s="116"/>
      <c r="O10" s="116"/>
    </row>
    <row r="11" spans="1:54" x14ac:dyDescent="0.2">
      <c r="B11" s="117" t="s">
        <v>200</v>
      </c>
      <c r="C11" s="118"/>
      <c r="D11" s="118"/>
      <c r="E11" s="118"/>
      <c r="F11" s="118"/>
      <c r="G11" s="118"/>
      <c r="H11" s="118"/>
      <c r="I11" s="118"/>
      <c r="J11" s="118"/>
      <c r="K11" s="118"/>
      <c r="L11" s="118"/>
      <c r="M11" s="118"/>
      <c r="N11" s="118"/>
      <c r="O11" s="118"/>
    </row>
    <row r="12" spans="1:54" x14ac:dyDescent="0.2">
      <c r="A12" s="45"/>
      <c r="B12" s="45" t="s">
        <v>21</v>
      </c>
      <c r="C12" s="44">
        <v>77.53389</v>
      </c>
      <c r="D12" s="119">
        <v>67.784229999999994</v>
      </c>
      <c r="E12" s="119">
        <v>63.018520000000002</v>
      </c>
      <c r="F12" s="119">
        <v>59.525210000000001</v>
      </c>
      <c r="G12" s="44" t="s">
        <v>25</v>
      </c>
      <c r="H12" s="44" t="s">
        <v>25</v>
      </c>
      <c r="I12" s="44" t="s">
        <v>25</v>
      </c>
      <c r="J12" s="44" t="s">
        <v>25</v>
      </c>
      <c r="K12" s="44" t="s">
        <v>25</v>
      </c>
      <c r="L12" s="44" t="s">
        <v>25</v>
      </c>
      <c r="M12" s="44" t="s">
        <v>25</v>
      </c>
      <c r="N12" s="44" t="s">
        <v>25</v>
      </c>
      <c r="O12" s="44" t="s">
        <v>25</v>
      </c>
    </row>
    <row r="13" spans="1:54" x14ac:dyDescent="0.2">
      <c r="A13" s="45"/>
      <c r="B13" s="45" t="s">
        <v>26</v>
      </c>
      <c r="C13" s="44">
        <v>-1.167449</v>
      </c>
      <c r="D13" s="119">
        <v>0.20019870000000001</v>
      </c>
      <c r="E13" s="119">
        <v>-0.118968</v>
      </c>
      <c r="F13" s="119">
        <v>-1.9611449999999999</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0</v>
      </c>
      <c r="D14" s="119">
        <v>-0.29251179999999999</v>
      </c>
      <c r="E14" s="119">
        <v>0</v>
      </c>
      <c r="F14" s="119">
        <v>0</v>
      </c>
      <c r="G14" s="119">
        <v>0</v>
      </c>
      <c r="H14" s="119">
        <v>0</v>
      </c>
      <c r="I14" s="119">
        <v>0</v>
      </c>
      <c r="J14" s="119">
        <v>0</v>
      </c>
      <c r="K14" s="119">
        <v>0</v>
      </c>
      <c r="L14" s="119">
        <v>0</v>
      </c>
      <c r="M14" s="119">
        <v>0</v>
      </c>
      <c r="N14" s="119">
        <v>0</v>
      </c>
      <c r="O14" s="119">
        <v>0</v>
      </c>
      <c r="P14" s="119">
        <v>0</v>
      </c>
      <c r="Q14" s="119">
        <v>0</v>
      </c>
      <c r="R14" s="119">
        <v>0</v>
      </c>
      <c r="S14" s="119">
        <v>0</v>
      </c>
      <c r="T14" s="119">
        <v>0</v>
      </c>
      <c r="U14" s="119">
        <v>0</v>
      </c>
      <c r="V14" s="119">
        <v>0</v>
      </c>
      <c r="W14" s="119">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2.5225840000000002</v>
      </c>
      <c r="D15" s="119">
        <v>-5.1615739999999999</v>
      </c>
      <c r="E15" s="119">
        <v>2.9723419999999998</v>
      </c>
      <c r="F15" s="119">
        <v>-1.2972429999999999</v>
      </c>
      <c r="G15" s="119">
        <v>-0.2</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0.48498469999999999</v>
      </c>
      <c r="D16" s="119">
        <v>1.052092</v>
      </c>
      <c r="E16" s="119">
        <v>1.7555499999999999</v>
      </c>
      <c r="F16" s="119">
        <v>-0.91088740000000001</v>
      </c>
      <c r="G16" s="119">
        <v>3.8232000000000001E-3</v>
      </c>
      <c r="H16" s="119">
        <v>0</v>
      </c>
      <c r="I16" s="119">
        <v>0</v>
      </c>
      <c r="J16" s="119">
        <v>0</v>
      </c>
      <c r="K16" s="119">
        <v>0</v>
      </c>
      <c r="L16" s="119">
        <v>0</v>
      </c>
      <c r="M16" s="119">
        <v>0</v>
      </c>
      <c r="N16" s="119">
        <v>0</v>
      </c>
      <c r="O16" s="119">
        <v>0</v>
      </c>
      <c r="P16" s="119">
        <v>0</v>
      </c>
      <c r="Q16" s="119">
        <v>0</v>
      </c>
      <c r="R16" s="119">
        <v>0</v>
      </c>
      <c r="S16" s="119">
        <v>0</v>
      </c>
      <c r="T16" s="119">
        <v>0</v>
      </c>
      <c r="U16" s="119">
        <v>0</v>
      </c>
      <c r="V16" s="119">
        <v>0</v>
      </c>
      <c r="W16" s="119">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1" t="s">
        <v>199</v>
      </c>
      <c r="C17" s="44"/>
      <c r="D17" s="312">
        <v>0</v>
      </c>
      <c r="E17" s="312">
        <v>0</v>
      </c>
      <c r="F17" s="312">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7" t="s">
        <v>195</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20">
        <f t="shared" si="0"/>
        <v>18.73057</v>
      </c>
      <c r="E20" s="120">
        <f t="shared" si="0"/>
        <v>19.072150000000001</v>
      </c>
      <c r="F20" s="120">
        <f t="shared" si="0"/>
        <v>19.672080000000001</v>
      </c>
      <c r="G20" s="120">
        <f t="shared" si="0"/>
        <v>19.686590000000006</v>
      </c>
      <c r="H20" s="120">
        <f t="shared" si="0"/>
        <v>19.617419999999999</v>
      </c>
      <c r="I20" s="120">
        <f t="shared" si="0"/>
        <v>19.589290000000002</v>
      </c>
      <c r="J20" s="120">
        <f t="shared" si="0"/>
        <v>19.582280000000004</v>
      </c>
      <c r="K20" s="120">
        <f t="shared" si="0"/>
        <v>19.575480000000002</v>
      </c>
      <c r="L20" s="120">
        <f t="shared" si="0"/>
        <v>19.559480000000001</v>
      </c>
      <c r="M20" s="120">
        <f t="shared" si="0"/>
        <v>19.53959</v>
      </c>
      <c r="N20" s="120">
        <f t="shared" si="0"/>
        <v>19.500919999999997</v>
      </c>
      <c r="O20" s="120">
        <f t="shared" si="0"/>
        <v>19.449690000000004</v>
      </c>
      <c r="P20" s="120">
        <f t="shared" si="0"/>
        <v>19.407900000000001</v>
      </c>
      <c r="Q20" s="120">
        <f t="shared" si="0"/>
        <v>19.380710000000001</v>
      </c>
      <c r="R20" s="120">
        <f t="shared" si="0"/>
        <v>19.350300000000001</v>
      </c>
      <c r="S20" s="120">
        <f t="shared" si="0"/>
        <v>19.29298</v>
      </c>
      <c r="T20" s="120">
        <f t="shared" si="0"/>
        <v>19.228539999999999</v>
      </c>
      <c r="U20" s="120">
        <f t="shared" ref="U20:W20" si="1">(U21+U22+U23+U24-U25)</f>
        <v>19.15353</v>
      </c>
      <c r="V20" s="120">
        <f t="shared" si="1"/>
        <v>19.077999999999999</v>
      </c>
      <c r="W20" s="120">
        <f t="shared" si="1"/>
        <v>19.007649999999998</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1" t="s">
        <v>31</v>
      </c>
      <c r="C21" s="44">
        <v>0</v>
      </c>
      <c r="D21" s="120">
        <v>9.01586</v>
      </c>
      <c r="E21" s="120">
        <v>9.6362400000000008</v>
      </c>
      <c r="F21" s="120">
        <v>10.321619999999999</v>
      </c>
      <c r="G21" s="120">
        <v>10.35505</v>
      </c>
      <c r="H21" s="120">
        <v>10.276209999999999</v>
      </c>
      <c r="I21" s="120">
        <v>10.23062</v>
      </c>
      <c r="J21" s="120">
        <v>10.19614</v>
      </c>
      <c r="K21" s="120">
        <v>10.156600000000001</v>
      </c>
      <c r="L21" s="120">
        <v>10.12852</v>
      </c>
      <c r="M21" s="120">
        <v>10.11223</v>
      </c>
      <c r="N21" s="120">
        <v>10.09282</v>
      </c>
      <c r="O21" s="120">
        <v>10.063800000000001</v>
      </c>
      <c r="P21" s="120">
        <v>10.027290000000001</v>
      </c>
      <c r="Q21" s="120">
        <v>9.9874200000000002</v>
      </c>
      <c r="R21" s="120">
        <v>9.94008</v>
      </c>
      <c r="S21" s="120">
        <v>9.8622399999999999</v>
      </c>
      <c r="T21" s="120">
        <v>9.785499999999999</v>
      </c>
      <c r="U21" s="120">
        <v>9.7073699999999992</v>
      </c>
      <c r="V21" s="120">
        <v>9.6299100000000006</v>
      </c>
      <c r="W21" s="120">
        <v>9.5575400000000013</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2" t="s">
        <v>32</v>
      </c>
      <c r="C22" s="44">
        <v>0</v>
      </c>
      <c r="D22" s="120">
        <v>5.8430299999999997</v>
      </c>
      <c r="E22" s="120">
        <v>5.7176799999999997</v>
      </c>
      <c r="F22" s="120">
        <v>5.74648</v>
      </c>
      <c r="G22" s="120">
        <v>5.7836800000000004</v>
      </c>
      <c r="H22" s="120">
        <v>5.8175499999999998</v>
      </c>
      <c r="I22" s="120">
        <v>5.8523199999999997</v>
      </c>
      <c r="J22" s="120">
        <v>5.8841600000000005</v>
      </c>
      <c r="K22" s="120">
        <v>5.9146299999999998</v>
      </c>
      <c r="L22" s="120">
        <v>5.9418800000000003</v>
      </c>
      <c r="M22" s="120">
        <v>5.9696800000000003</v>
      </c>
      <c r="N22" s="120">
        <v>5.9924200000000001</v>
      </c>
      <c r="O22" s="120">
        <v>6.0186999999999999</v>
      </c>
      <c r="P22" s="120">
        <v>6.0438499999999999</v>
      </c>
      <c r="Q22" s="120">
        <v>6.0667400000000002</v>
      </c>
      <c r="R22" s="120">
        <v>6.0879900000000005</v>
      </c>
      <c r="S22" s="120">
        <v>6.1088100000000001</v>
      </c>
      <c r="T22" s="120">
        <v>6.1283500000000002</v>
      </c>
      <c r="U22" s="120">
        <v>6.1471600000000004</v>
      </c>
      <c r="V22" s="120">
        <v>6.1645899999999996</v>
      </c>
      <c r="W22" s="120">
        <v>6.1808000000000005</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2" t="s">
        <v>33</v>
      </c>
      <c r="C23" s="44">
        <v>0</v>
      </c>
      <c r="D23" s="120">
        <v>0.51260000000000006</v>
      </c>
      <c r="E23" s="120">
        <v>0.50946000000000002</v>
      </c>
      <c r="F23" s="120">
        <v>0.50597999999999999</v>
      </c>
      <c r="G23" s="120">
        <v>0.50803999999999994</v>
      </c>
      <c r="H23" s="120">
        <v>0.51137999999999995</v>
      </c>
      <c r="I23" s="120">
        <v>0.51945000000000008</v>
      </c>
      <c r="J23" s="120">
        <v>0.52402000000000004</v>
      </c>
      <c r="K23" s="120">
        <v>0.52858000000000005</v>
      </c>
      <c r="L23" s="120">
        <v>0.53337999999999997</v>
      </c>
      <c r="M23" s="120">
        <v>0.53861999999999999</v>
      </c>
      <c r="N23" s="120">
        <v>0.54410999999999998</v>
      </c>
      <c r="O23" s="120">
        <v>0.54942000000000002</v>
      </c>
      <c r="P23" s="120">
        <v>0.55465999999999993</v>
      </c>
      <c r="Q23" s="120">
        <v>0.55984</v>
      </c>
      <c r="R23" s="120">
        <v>0.56464999999999999</v>
      </c>
      <c r="S23" s="120">
        <v>0.56891999999999998</v>
      </c>
      <c r="T23" s="120">
        <v>0.57289999999999996</v>
      </c>
      <c r="U23" s="120">
        <v>0.5766</v>
      </c>
      <c r="V23" s="120">
        <v>0.58030999999999999</v>
      </c>
      <c r="W23" s="120">
        <v>0.58383999999999991</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2" t="s">
        <v>34</v>
      </c>
      <c r="C24" s="44">
        <v>0</v>
      </c>
      <c r="D24" s="120">
        <v>3.4492400000000001</v>
      </c>
      <c r="E24" s="120">
        <v>3.3051299999999997</v>
      </c>
      <c r="F24" s="120">
        <v>3.2012199999999997</v>
      </c>
      <c r="G24" s="120">
        <v>3.14337</v>
      </c>
      <c r="H24" s="120">
        <v>3.11504</v>
      </c>
      <c r="I24" s="120">
        <v>3.08921</v>
      </c>
      <c r="J24" s="120">
        <v>3.07992</v>
      </c>
      <c r="K24" s="120">
        <v>3.0772399999999998</v>
      </c>
      <c r="L24" s="120">
        <v>3.0569800000000003</v>
      </c>
      <c r="M24" s="120">
        <v>3.0201799999999999</v>
      </c>
      <c r="N24" s="120">
        <v>2.9725000000000001</v>
      </c>
      <c r="O24" s="120">
        <v>2.9184100000000002</v>
      </c>
      <c r="P24" s="120">
        <v>2.8823699999999999</v>
      </c>
      <c r="Q24" s="120">
        <v>2.8665800000000004</v>
      </c>
      <c r="R24" s="120">
        <v>2.8569800000000001</v>
      </c>
      <c r="S24" s="120">
        <v>2.8516300000000001</v>
      </c>
      <c r="T24" s="120">
        <v>2.8396399999999997</v>
      </c>
      <c r="U24" s="120">
        <v>2.8194699999999999</v>
      </c>
      <c r="V24" s="120">
        <v>2.79949</v>
      </c>
      <c r="W24" s="120">
        <v>2.78105</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2" t="s">
        <v>35</v>
      </c>
      <c r="C25" s="44">
        <v>0</v>
      </c>
      <c r="D25" s="120">
        <v>9.0160000000000004E-2</v>
      </c>
      <c r="E25" s="120">
        <v>9.6360000000000001E-2</v>
      </c>
      <c r="F25" s="120">
        <v>0.10322000000000001</v>
      </c>
      <c r="G25" s="120">
        <v>0.10355</v>
      </c>
      <c r="H25" s="120">
        <v>0.10276</v>
      </c>
      <c r="I25" s="120">
        <v>0.10231000000000001</v>
      </c>
      <c r="J25" s="120">
        <v>0.10196000000000001</v>
      </c>
      <c r="K25" s="120">
        <v>0.10157000000000001</v>
      </c>
      <c r="L25" s="120">
        <v>0.10128</v>
      </c>
      <c r="M25" s="120">
        <v>0.10112</v>
      </c>
      <c r="N25" s="120">
        <v>0.10093000000000001</v>
      </c>
      <c r="O25" s="120">
        <v>0.10063999999999999</v>
      </c>
      <c r="P25" s="120">
        <v>0.10027</v>
      </c>
      <c r="Q25" s="120">
        <v>9.9869999999999987E-2</v>
      </c>
      <c r="R25" s="120">
        <v>9.9400000000000016E-2</v>
      </c>
      <c r="S25" s="120">
        <v>9.8619999999999999E-2</v>
      </c>
      <c r="T25" s="120">
        <v>9.7849999999999993E-2</v>
      </c>
      <c r="U25" s="120">
        <v>9.7070000000000004E-2</v>
      </c>
      <c r="V25" s="120">
        <v>9.6299999999999997E-2</v>
      </c>
      <c r="W25" s="120">
        <v>9.5579999999999998E-2</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1" t="s">
        <v>36</v>
      </c>
      <c r="C26" s="44">
        <v>0.78728819999999999</v>
      </c>
      <c r="D26" s="120">
        <v>0.62805219999999995</v>
      </c>
      <c r="E26" s="120">
        <v>0.62721289999999996</v>
      </c>
      <c r="F26" s="120">
        <v>0.62637359999999997</v>
      </c>
      <c r="G26" s="120">
        <v>0.62553440000000005</v>
      </c>
      <c r="H26" s="120">
        <v>0.62469509999999995</v>
      </c>
      <c r="I26" s="120">
        <v>0.62385579999999996</v>
      </c>
      <c r="J26" s="120">
        <v>0.62301649999999997</v>
      </c>
      <c r="K26" s="120">
        <v>0.62217710000000004</v>
      </c>
      <c r="L26" s="120">
        <v>0.62133780000000005</v>
      </c>
      <c r="M26" s="120">
        <v>0.62049849999999995</v>
      </c>
      <c r="N26" s="120">
        <v>0.61965919999999997</v>
      </c>
      <c r="O26" s="120">
        <v>0.61881980000000003</v>
      </c>
      <c r="P26" s="120">
        <v>0.61798050000000004</v>
      </c>
      <c r="Q26" s="120">
        <v>0.61714119999999995</v>
      </c>
      <c r="R26" s="120">
        <v>0.61630189999999996</v>
      </c>
      <c r="S26" s="120">
        <v>0.61546250000000002</v>
      </c>
      <c r="T26" s="120">
        <v>0.61462320000000004</v>
      </c>
      <c r="U26" s="120">
        <v>0.61378390000000005</v>
      </c>
      <c r="V26" s="120">
        <v>0.61294459999999995</v>
      </c>
      <c r="W26" s="120">
        <v>0.61210529999999996</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4" customFormat="1" x14ac:dyDescent="0.2">
      <c r="A28" s="123"/>
      <c r="B28" s="115" t="s">
        <v>175</v>
      </c>
      <c r="C28" s="123"/>
      <c r="D28" s="123"/>
      <c r="E28" s="123"/>
      <c r="F28" s="123"/>
      <c r="G28" s="123"/>
      <c r="H28" s="123"/>
      <c r="I28" s="123"/>
      <c r="J28" s="123"/>
      <c r="K28" s="123"/>
      <c r="L28" s="123"/>
      <c r="M28" s="123"/>
      <c r="N28" s="123"/>
      <c r="O28" s="123"/>
    </row>
    <row r="29" spans="1:54" x14ac:dyDescent="0.2">
      <c r="A29" s="45"/>
      <c r="B29" s="117" t="s">
        <v>37</v>
      </c>
      <c r="C29" s="45"/>
      <c r="D29" s="45"/>
      <c r="E29" s="45"/>
      <c r="F29" s="45"/>
      <c r="G29" s="45"/>
      <c r="H29" s="45"/>
      <c r="I29" s="45"/>
      <c r="J29" s="45"/>
      <c r="K29" s="45"/>
      <c r="L29" s="45"/>
      <c r="M29" s="45"/>
      <c r="N29" s="45"/>
      <c r="O29" s="45"/>
    </row>
    <row r="30" spans="1:54" x14ac:dyDescent="0.2">
      <c r="A30" s="45"/>
      <c r="B30" s="45" t="s">
        <v>38</v>
      </c>
      <c r="C30" s="124">
        <v>13.04114</v>
      </c>
      <c r="D30" s="125">
        <v>7.0272269999999999</v>
      </c>
      <c r="E30" s="125">
        <v>3.0608719999999998</v>
      </c>
      <c r="F30" s="125">
        <v>3.2985890000000002</v>
      </c>
      <c r="G30" s="125">
        <v>2.9625110000000001</v>
      </c>
      <c r="H30" s="125">
        <v>2.052305</v>
      </c>
      <c r="I30" s="125">
        <v>1.448761</v>
      </c>
      <c r="J30" s="125">
        <v>1.686121</v>
      </c>
      <c r="K30" s="125">
        <v>2.0395699999999999</v>
      </c>
      <c r="L30" s="125">
        <v>1.9148069999999999</v>
      </c>
      <c r="M30" s="125">
        <v>1.782619</v>
      </c>
      <c r="N30" s="125">
        <v>1.696817</v>
      </c>
      <c r="O30" s="125">
        <v>1.627313</v>
      </c>
      <c r="P30" s="126">
        <v>1.5719829999999999</v>
      </c>
      <c r="Q30" s="126">
        <v>1.516662</v>
      </c>
      <c r="R30" s="126">
        <v>1.4613350000000001</v>
      </c>
      <c r="S30" s="126">
        <v>1.5350900000000001</v>
      </c>
      <c r="T30" s="126">
        <v>1.564341</v>
      </c>
      <c r="U30" s="126">
        <v>1.623864</v>
      </c>
      <c r="V30" s="126">
        <v>1.675783</v>
      </c>
      <c r="W30" s="126">
        <v>1.6641360000000001</v>
      </c>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x14ac:dyDescent="0.2">
      <c r="A31" s="45"/>
      <c r="B31" s="269" t="s">
        <v>149</v>
      </c>
      <c r="C31" s="124">
        <v>54.263080000000002</v>
      </c>
    </row>
    <row r="32" spans="1:54" x14ac:dyDescent="0.2">
      <c r="A32" s="45"/>
      <c r="B32" s="117"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4">
        <v>2.5665629999999999</v>
      </c>
      <c r="D33" s="125">
        <v>3.7210540000000001</v>
      </c>
      <c r="E33" s="125">
        <v>4.110868</v>
      </c>
      <c r="F33" s="125">
        <v>3.6275620000000002</v>
      </c>
      <c r="G33" s="125">
        <v>3.2421229999999999</v>
      </c>
      <c r="H33" s="125">
        <v>2.698664</v>
      </c>
      <c r="I33" s="125">
        <v>2.312764</v>
      </c>
      <c r="J33" s="125">
        <v>2.1209859999999998</v>
      </c>
      <c r="K33" s="125">
        <v>2.0395690000000002</v>
      </c>
      <c r="L33" s="125">
        <v>1.914811</v>
      </c>
      <c r="M33" s="125">
        <v>1.782621</v>
      </c>
      <c r="N33" s="125">
        <v>1.696812</v>
      </c>
      <c r="O33" s="125">
        <v>1.62731</v>
      </c>
      <c r="P33" s="126">
        <v>1.571984</v>
      </c>
      <c r="Q33" s="126">
        <v>1.516659</v>
      </c>
      <c r="R33" s="126">
        <v>1.461333</v>
      </c>
      <c r="S33" s="126">
        <v>1.5350889999999999</v>
      </c>
      <c r="T33" s="126">
        <v>1.564341</v>
      </c>
      <c r="U33" s="126">
        <v>1.623864</v>
      </c>
      <c r="V33" s="126">
        <v>1.6757880000000001</v>
      </c>
      <c r="W33" s="126">
        <v>1.6641360000000001</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row>
    <row r="34" spans="1:54" x14ac:dyDescent="0.2">
      <c r="A34" s="45"/>
      <c r="B34" s="269" t="s">
        <v>149</v>
      </c>
      <c r="C34" s="124">
        <v>54.062049999999999</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69"/>
      <c r="C35" s="12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4" customFormat="1" x14ac:dyDescent="0.2">
      <c r="A36" s="123"/>
      <c r="B36" s="115" t="s">
        <v>190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row>
    <row r="37" spans="1:54" x14ac:dyDescent="0.2">
      <c r="A37" s="45"/>
      <c r="B37" s="45" t="s">
        <v>41</v>
      </c>
      <c r="C37" s="44">
        <v>2.0416150000000002</v>
      </c>
      <c r="D37" s="119">
        <v>2.038402</v>
      </c>
      <c r="E37" s="119">
        <v>2.7909440000000001</v>
      </c>
      <c r="F37" s="119">
        <v>2.8182960000000001</v>
      </c>
      <c r="G37" s="119">
        <v>2.8191980000000001</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1" t="s">
        <v>42</v>
      </c>
      <c r="D38" s="119">
        <v>0.35</v>
      </c>
      <c r="E38" s="119">
        <v>3.43</v>
      </c>
      <c r="F38" s="259">
        <v>3.5642079999999998</v>
      </c>
      <c r="G38" s="260">
        <v>2.8163749999999999</v>
      </c>
      <c r="H38" s="44"/>
    </row>
    <row r="39" spans="1:54" x14ac:dyDescent="0.2">
      <c r="A39" s="45"/>
      <c r="B39" s="121" t="s">
        <v>43</v>
      </c>
      <c r="D39" s="119">
        <v>2.7</v>
      </c>
      <c r="E39" s="119">
        <v>3.8</v>
      </c>
      <c r="F39" s="261">
        <v>3.3516180000000002</v>
      </c>
      <c r="G39" s="262">
        <v>3.4386399999999999</v>
      </c>
      <c r="H39" s="44"/>
    </row>
    <row r="40" spans="1:54" x14ac:dyDescent="0.2">
      <c r="A40" s="45"/>
      <c r="B40" s="122"/>
      <c r="C40" s="44"/>
      <c r="D40" s="44"/>
      <c r="E40" s="127"/>
      <c r="F40" s="258" t="s">
        <v>49</v>
      </c>
      <c r="G40" s="127"/>
      <c r="H40" s="127"/>
      <c r="I40" s="127"/>
      <c r="J40" s="127"/>
      <c r="K40" s="127"/>
      <c r="L40" s="127"/>
      <c r="M40" s="127"/>
      <c r="N40" s="127"/>
      <c r="O40" s="127"/>
      <c r="P40" s="127"/>
      <c r="Q40" s="127"/>
      <c r="R40" s="127"/>
      <c r="S40" s="127"/>
      <c r="T40" s="127"/>
      <c r="U40" s="127"/>
      <c r="V40" s="127"/>
      <c r="W40" s="12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4" customFormat="1" x14ac:dyDescent="0.2">
      <c r="A41" s="123"/>
      <c r="B41" s="128" t="s">
        <v>191</v>
      </c>
      <c r="C41" s="129"/>
      <c r="D41" s="129"/>
      <c r="E41" s="129"/>
      <c r="F41" s="129"/>
      <c r="G41" s="130"/>
      <c r="H41" s="130"/>
      <c r="I41" s="130"/>
      <c r="J41" s="130"/>
      <c r="K41" s="130"/>
      <c r="L41" s="130"/>
      <c r="M41" s="130"/>
      <c r="N41" s="130"/>
      <c r="O41" s="130"/>
      <c r="P41" s="130"/>
      <c r="Q41" s="130"/>
      <c r="R41" s="130"/>
      <c r="S41" s="130"/>
      <c r="T41" s="130"/>
      <c r="U41" s="130"/>
      <c r="V41" s="130"/>
      <c r="W41" s="130"/>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x14ac:dyDescent="0.2">
      <c r="A42" s="45"/>
      <c r="B42" s="45" t="s">
        <v>44</v>
      </c>
      <c r="C42" s="44">
        <v>2.1344219999999998</v>
      </c>
      <c r="D42" s="119">
        <v>8.5535840000000007</v>
      </c>
      <c r="E42" s="119">
        <v>8.5226670000000002</v>
      </c>
      <c r="F42" s="119">
        <v>5.5288409999999999</v>
      </c>
      <c r="G42" s="119">
        <v>2.1515659999999999</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4" customFormat="1" x14ac:dyDescent="0.2">
      <c r="A44" s="123"/>
      <c r="B44" s="128" t="s">
        <v>192</v>
      </c>
      <c r="C44" s="129"/>
      <c r="D44" s="129"/>
      <c r="E44" s="129"/>
      <c r="F44" s="129"/>
      <c r="G44" s="130"/>
      <c r="H44" s="130"/>
      <c r="I44" s="130"/>
      <c r="J44" s="130"/>
      <c r="K44" s="130"/>
      <c r="L44" s="130"/>
      <c r="M44" s="130"/>
      <c r="N44" s="130"/>
      <c r="O44" s="130"/>
      <c r="P44" s="130"/>
      <c r="Q44" s="130"/>
      <c r="R44" s="130"/>
      <c r="S44" s="130"/>
      <c r="T44" s="130"/>
      <c r="U44" s="130"/>
      <c r="V44" s="130"/>
      <c r="W44" s="130"/>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row>
    <row r="45" spans="1:54" x14ac:dyDescent="0.2">
      <c r="A45" s="45"/>
      <c r="B45" s="45" t="s">
        <v>15</v>
      </c>
      <c r="C45" s="44">
        <v>5.1371666496555175</v>
      </c>
      <c r="D45" s="119">
        <v>13.332508026209865</v>
      </c>
      <c r="E45" s="119">
        <v>17.321552756469458</v>
      </c>
      <c r="F45" s="119">
        <v>14.354198279852639</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10" customFormat="1" x14ac:dyDescent="0.2">
      <c r="A47" s="112"/>
      <c r="B47" s="111" t="s">
        <v>45</v>
      </c>
      <c r="C47" s="131"/>
      <c r="D47" s="131"/>
    </row>
    <row r="48" spans="1:54" x14ac:dyDescent="0.2">
      <c r="A48" s="45"/>
      <c r="B48" s="132"/>
      <c r="C48" s="44"/>
      <c r="D48" s="44"/>
      <c r="E48" s="270" t="s">
        <v>132</v>
      </c>
    </row>
    <row r="49" spans="1:5" x14ac:dyDescent="0.2">
      <c r="A49" s="45"/>
      <c r="B49" s="45" t="s">
        <v>46</v>
      </c>
      <c r="C49" s="48">
        <v>0.75</v>
      </c>
      <c r="D49" s="44"/>
      <c r="E49" s="45" t="s">
        <v>47</v>
      </c>
    </row>
    <row r="50" spans="1:5" x14ac:dyDescent="0.2">
      <c r="A50" s="45"/>
      <c r="B50" s="45" t="s">
        <v>193</v>
      </c>
      <c r="C50" s="44">
        <v>0.443</v>
      </c>
      <c r="D50" s="44"/>
      <c r="E50" s="45" t="s">
        <v>48</v>
      </c>
    </row>
    <row r="51" spans="1:5" x14ac:dyDescent="0.2">
      <c r="A51" s="45"/>
      <c r="B51" s="45"/>
      <c r="C51" s="44"/>
      <c r="D51" s="44"/>
    </row>
    <row r="52" spans="1:5" x14ac:dyDescent="0.2">
      <c r="A52" s="45"/>
      <c r="B52" s="121" t="s">
        <v>180</v>
      </c>
      <c r="C52" s="133">
        <v>4.3790199999999997</v>
      </c>
      <c r="D52" s="44"/>
      <c r="E52" s="45" t="s">
        <v>49</v>
      </c>
    </row>
    <row r="53" spans="1:5" x14ac:dyDescent="0.2">
      <c r="A53" s="45"/>
      <c r="B53" s="121" t="s">
        <v>181</v>
      </c>
      <c r="C53" s="133">
        <v>2.7260900000000001</v>
      </c>
      <c r="D53" s="44"/>
      <c r="E53" s="45" t="s">
        <v>49</v>
      </c>
    </row>
    <row r="54" spans="1:5" x14ac:dyDescent="0.2">
      <c r="A54" s="45"/>
      <c r="B54" s="121" t="s">
        <v>182</v>
      </c>
      <c r="C54" s="119">
        <v>4</v>
      </c>
      <c r="D54" s="44"/>
      <c r="E54" s="45" t="s">
        <v>50</v>
      </c>
    </row>
    <row r="55" spans="1:5" x14ac:dyDescent="0.2">
      <c r="A55" s="45"/>
      <c r="B55" s="121" t="s">
        <v>183</v>
      </c>
      <c r="C55" s="119">
        <v>2</v>
      </c>
      <c r="D55" s="44"/>
      <c r="E55" s="45" t="s">
        <v>50</v>
      </c>
    </row>
    <row r="56" spans="1:5" x14ac:dyDescent="0.2">
      <c r="A56" s="45"/>
      <c r="B56" s="121"/>
      <c r="C56" s="44"/>
      <c r="D56" s="44"/>
    </row>
    <row r="57" spans="1:5" x14ac:dyDescent="0.2">
      <c r="A57" s="45"/>
      <c r="B57" s="45" t="s">
        <v>51</v>
      </c>
      <c r="C57" s="124">
        <v>4.6504900000000002E-2</v>
      </c>
      <c r="D57" s="147"/>
      <c r="E57" s="269" t="s">
        <v>133</v>
      </c>
    </row>
    <row r="58" spans="1:5" x14ac:dyDescent="0.2">
      <c r="A58" s="45"/>
      <c r="B58" s="45" t="s">
        <v>52</v>
      </c>
      <c r="C58" s="23">
        <f>1-C57</f>
        <v>0.95349510000000004</v>
      </c>
      <c r="E58" s="269" t="s">
        <v>133</v>
      </c>
    </row>
    <row r="59" spans="1:5" x14ac:dyDescent="0.2">
      <c r="A59" s="45"/>
      <c r="B59" s="45" t="s">
        <v>184</v>
      </c>
      <c r="C59" s="124">
        <v>0.10674316</v>
      </c>
      <c r="E59" s="269" t="s">
        <v>134</v>
      </c>
    </row>
    <row r="60" spans="1:5" x14ac:dyDescent="0.2">
      <c r="A60" s="45"/>
      <c r="B60" s="45"/>
      <c r="C60" s="124"/>
    </row>
    <row r="61" spans="1:5" x14ac:dyDescent="0.2">
      <c r="A61" s="45"/>
      <c r="B61" s="45" t="s">
        <v>185</v>
      </c>
      <c r="C61" s="134">
        <v>2.5499999999999998</v>
      </c>
      <c r="E61" s="45" t="s">
        <v>53</v>
      </c>
    </row>
    <row r="62" spans="1:5" x14ac:dyDescent="0.2">
      <c r="A62" s="45"/>
      <c r="B62" s="45" t="s">
        <v>186</v>
      </c>
      <c r="C62" s="124">
        <v>2</v>
      </c>
      <c r="E62" s="45" t="s">
        <v>54</v>
      </c>
    </row>
    <row r="63" spans="1:5" x14ac:dyDescent="0.2">
      <c r="A63" s="45"/>
      <c r="B63" s="45"/>
      <c r="C63" s="124"/>
      <c r="E63" s="45"/>
    </row>
    <row r="64" spans="1:5" x14ac:dyDescent="0.2">
      <c r="A64" s="45"/>
      <c r="B64" s="45" t="s">
        <v>179</v>
      </c>
      <c r="C64" s="119">
        <v>46.627031247930589</v>
      </c>
      <c r="E64" s="45" t="s">
        <v>174</v>
      </c>
    </row>
    <row r="65" spans="1:7" x14ac:dyDescent="0.2">
      <c r="A65" s="45"/>
      <c r="B65" s="45"/>
      <c r="C65" s="124"/>
      <c r="E65" s="45"/>
    </row>
    <row r="66" spans="1:7" x14ac:dyDescent="0.2">
      <c r="A66" s="45"/>
      <c r="B66" s="45" t="s">
        <v>55</v>
      </c>
      <c r="C66" s="138">
        <v>0.90822363844805798</v>
      </c>
      <c r="D66" s="1"/>
      <c r="E66" s="45" t="s">
        <v>56</v>
      </c>
    </row>
    <row r="67" spans="1:7" x14ac:dyDescent="0.2">
      <c r="A67" s="45"/>
      <c r="B67" s="268" t="s">
        <v>135</v>
      </c>
      <c r="C67" s="138">
        <v>5.7720342917519318E-2</v>
      </c>
      <c r="D67" s="1"/>
      <c r="E67" s="45" t="s">
        <v>56</v>
      </c>
    </row>
    <row r="68" spans="1:7" x14ac:dyDescent="0.2">
      <c r="A68" s="45"/>
      <c r="B68" s="268" t="s">
        <v>136</v>
      </c>
      <c r="C68" s="138">
        <v>3.4055915365565119E-2</v>
      </c>
      <c r="D68" s="1"/>
      <c r="E68" s="45" t="s">
        <v>56</v>
      </c>
    </row>
    <row r="69" spans="1:7" x14ac:dyDescent="0.2">
      <c r="A69" s="45"/>
      <c r="B69" s="121" t="s">
        <v>57</v>
      </c>
      <c r="C69" s="138">
        <v>0</v>
      </c>
      <c r="D69" s="1"/>
      <c r="E69" s="45" t="s">
        <v>56</v>
      </c>
    </row>
    <row r="70" spans="1:7" x14ac:dyDescent="0.2">
      <c r="A70" s="45"/>
      <c r="B70" s="121" t="s">
        <v>58</v>
      </c>
      <c r="C70" s="138">
        <v>0</v>
      </c>
      <c r="D70" s="1"/>
      <c r="E70" s="45" t="s">
        <v>56</v>
      </c>
    </row>
    <row r="71" spans="1:7" x14ac:dyDescent="0.2">
      <c r="A71" s="45"/>
      <c r="B71" s="121"/>
      <c r="C71" s="44"/>
      <c r="E71" s="45"/>
    </row>
    <row r="72" spans="1:7" s="110" customFormat="1" x14ac:dyDescent="0.2">
      <c r="B72" s="111"/>
      <c r="C72" s="131"/>
      <c r="D72" s="131"/>
    </row>
    <row r="73" spans="1:7" x14ac:dyDescent="0.2">
      <c r="B73" s="135"/>
      <c r="C73" s="136"/>
      <c r="D73" s="136"/>
      <c r="E73" s="137"/>
      <c r="F73" s="137"/>
      <c r="G73" s="137"/>
    </row>
    <row r="74" spans="1:7" x14ac:dyDescent="0.2">
      <c r="A74" s="45"/>
      <c r="B74" s="269"/>
      <c r="C74" s="23"/>
      <c r="D74" s="23"/>
      <c r="E74" s="23"/>
      <c r="F74" s="23"/>
      <c r="G74" s="23"/>
    </row>
    <row r="75" spans="1:7" x14ac:dyDescent="0.2">
      <c r="A75" s="45"/>
      <c r="B75" s="269"/>
      <c r="C75" s="23"/>
      <c r="D75" s="23"/>
      <c r="E75" s="23"/>
      <c r="F75" s="23"/>
      <c r="G75" s="23"/>
    </row>
    <row r="76" spans="1:7" x14ac:dyDescent="0.2">
      <c r="A76" s="45"/>
      <c r="B76" s="269"/>
      <c r="C76" s="23"/>
      <c r="D76" s="23"/>
      <c r="E76" s="23"/>
      <c r="F76" s="23"/>
      <c r="G76" s="23"/>
    </row>
    <row r="77" spans="1:7" x14ac:dyDescent="0.2">
      <c r="A77" s="45"/>
      <c r="B77" s="269"/>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HR</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-1.167449</v>
      </c>
      <c r="D12" s="1">
        <f>'Input data'!D13</f>
        <v>0.20019870000000001</v>
      </c>
      <c r="E12" s="2">
        <f>'Input data'!E13</f>
        <v>-0.118968</v>
      </c>
      <c r="F12" s="2">
        <f>'Input data'!F13</f>
        <v>-1.9611449999999999</v>
      </c>
      <c r="G12" s="1">
        <f>F12</f>
        <v>-1.9611449999999999</v>
      </c>
      <c r="H12" s="1">
        <f t="shared" ref="H12:W12" si="0">G12</f>
        <v>-1.9611449999999999</v>
      </c>
      <c r="I12" s="1">
        <f t="shared" si="0"/>
        <v>-1.9611449999999999</v>
      </c>
      <c r="J12" s="1">
        <f t="shared" si="0"/>
        <v>-1.9611449999999999</v>
      </c>
      <c r="K12" s="1">
        <f t="shared" si="0"/>
        <v>-1.9611449999999999</v>
      </c>
      <c r="L12" s="1">
        <f t="shared" si="0"/>
        <v>-1.9611449999999999</v>
      </c>
      <c r="M12" s="1">
        <f t="shared" si="0"/>
        <v>-1.9611449999999999</v>
      </c>
      <c r="N12" s="1">
        <f t="shared" si="0"/>
        <v>-1.9611449999999999</v>
      </c>
      <c r="O12" s="1">
        <f t="shared" si="0"/>
        <v>-1.9611449999999999</v>
      </c>
      <c r="P12" s="1">
        <f t="shared" si="0"/>
        <v>-1.9611449999999999</v>
      </c>
      <c r="Q12" s="1">
        <f t="shared" si="0"/>
        <v>-1.9611449999999999</v>
      </c>
      <c r="R12" s="1">
        <f t="shared" si="0"/>
        <v>-1.9611449999999999</v>
      </c>
      <c r="S12" s="1">
        <f t="shared" si="0"/>
        <v>-1.9611449999999999</v>
      </c>
      <c r="T12" s="1">
        <f t="shared" si="0"/>
        <v>-1.9611449999999999</v>
      </c>
      <c r="U12" s="1">
        <f t="shared" si="0"/>
        <v>-1.9611449999999999</v>
      </c>
      <c r="V12" s="1">
        <f t="shared" si="0"/>
        <v>-1.9611449999999999</v>
      </c>
      <c r="W12" s="1">
        <f t="shared" si="0"/>
        <v>-1.9611449999999999</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0</v>
      </c>
      <c r="D13" s="1">
        <f>'Input data'!D14</f>
        <v>-0.29251179999999999</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59</v>
      </c>
      <c r="C14" s="1">
        <f>'Input data'!C15</f>
        <v>2.5225840000000002</v>
      </c>
      <c r="D14" s="1">
        <f>'Input data'!D15</f>
        <v>-5.1615739999999999</v>
      </c>
      <c r="E14" s="2">
        <f>'Input data'!E15</f>
        <v>2.9723419999999998</v>
      </c>
      <c r="F14" s="2">
        <f>'Input data'!F15</f>
        <v>-1.2972429999999999</v>
      </c>
      <c r="G14" s="2">
        <f>'Input data'!G15</f>
        <v>-0.2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18.73057</v>
      </c>
      <c r="E17" s="79">
        <f>'Input data'!E20</f>
        <v>19.072150000000001</v>
      </c>
      <c r="F17" s="79">
        <f>'Input data'!F20</f>
        <v>19.672080000000001</v>
      </c>
      <c r="G17" s="79">
        <f>'Input data'!G20</f>
        <v>19.686590000000006</v>
      </c>
      <c r="H17" s="79">
        <f>'Input data'!H20</f>
        <v>19.617419999999999</v>
      </c>
      <c r="I17" s="79">
        <f>'Input data'!I20</f>
        <v>19.589290000000002</v>
      </c>
      <c r="J17" s="79">
        <f>'Input data'!J20</f>
        <v>19.582280000000004</v>
      </c>
      <c r="K17" s="79">
        <f>'Input data'!K20</f>
        <v>19.575480000000002</v>
      </c>
      <c r="L17" s="79">
        <f>'Input data'!L20</f>
        <v>19.559480000000001</v>
      </c>
      <c r="M17" s="79">
        <f>'Input data'!M20</f>
        <v>19.53959</v>
      </c>
      <c r="N17" s="79">
        <f>'Input data'!N20</f>
        <v>19.500919999999997</v>
      </c>
      <c r="O17" s="79">
        <f>'Input data'!O20</f>
        <v>19.449690000000004</v>
      </c>
      <c r="P17" s="79">
        <f>'Input data'!P20</f>
        <v>19.407900000000001</v>
      </c>
      <c r="Q17" s="79">
        <f>'Input data'!Q20</f>
        <v>19.380710000000001</v>
      </c>
      <c r="R17" s="79">
        <f>'Input data'!R20</f>
        <v>19.350300000000001</v>
      </c>
      <c r="S17" s="79">
        <f>'Input data'!S20</f>
        <v>19.29298</v>
      </c>
      <c r="T17" s="79">
        <f>'Input data'!T20</f>
        <v>19.228539999999999</v>
      </c>
      <c r="U17" s="79">
        <f>'Input data'!U20</f>
        <v>19.15353</v>
      </c>
      <c r="V17" s="79">
        <f>'Input data'!V20</f>
        <v>19.077999999999999</v>
      </c>
      <c r="W17" s="79">
        <f>'Input data'!W20</f>
        <v>19.007649999999998</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0.78728819999999999</v>
      </c>
      <c r="D18" s="1">
        <f>'Input data'!D26</f>
        <v>0.62805219999999995</v>
      </c>
      <c r="E18" s="79">
        <f>'Input data'!E26</f>
        <v>0.62721289999999996</v>
      </c>
      <c r="F18" s="79">
        <f>'Input data'!F26</f>
        <v>0.62637359999999997</v>
      </c>
      <c r="G18" s="79">
        <f>'Input data'!G26</f>
        <v>0.62553440000000005</v>
      </c>
      <c r="H18" s="79">
        <f>'Input data'!H26</f>
        <v>0.62469509999999995</v>
      </c>
      <c r="I18" s="79">
        <f>'Input data'!I26</f>
        <v>0.62385579999999996</v>
      </c>
      <c r="J18" s="79">
        <f>'Input data'!J26</f>
        <v>0.62301649999999997</v>
      </c>
      <c r="K18" s="79">
        <f>'Input data'!K26</f>
        <v>0.62217710000000004</v>
      </c>
      <c r="L18" s="79">
        <f>'Input data'!L26</f>
        <v>0.62133780000000005</v>
      </c>
      <c r="M18" s="79">
        <f>'Input data'!M26</f>
        <v>0.62049849999999995</v>
      </c>
      <c r="N18" s="79">
        <f>'Input data'!N26</f>
        <v>0.61965919999999997</v>
      </c>
      <c r="O18" s="79">
        <f>'Input data'!O26</f>
        <v>0.61881980000000003</v>
      </c>
      <c r="P18" s="79">
        <f>'Input data'!P26</f>
        <v>0.61798050000000004</v>
      </c>
      <c r="Q18" s="79">
        <f>'Input data'!Q26</f>
        <v>0.61714119999999995</v>
      </c>
      <c r="R18" s="79">
        <f>'Input data'!R26</f>
        <v>0.61630189999999996</v>
      </c>
      <c r="S18" s="79">
        <f>'Input data'!S26</f>
        <v>0.61546250000000002</v>
      </c>
      <c r="T18" s="79">
        <f>'Input data'!T26</f>
        <v>0.61462320000000004</v>
      </c>
      <c r="U18" s="79">
        <f>'Input data'!U26</f>
        <v>0.61378390000000005</v>
      </c>
      <c r="V18" s="79">
        <f>'Input data'!V26</f>
        <v>0.61294459999999995</v>
      </c>
      <c r="W18" s="79">
        <f>'Input data'!W26</f>
        <v>0.61210529999999996</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60</v>
      </c>
    </row>
    <row r="21" spans="1:50" ht="10.5" customHeight="1" x14ac:dyDescent="0.2">
      <c r="B21" s="19" t="s">
        <v>61</v>
      </c>
    </row>
    <row r="22" spans="1:50" x14ac:dyDescent="0.2">
      <c r="B22" s="15" t="s">
        <v>39</v>
      </c>
      <c r="C22" s="23">
        <f>'Input data'!C31</f>
        <v>54.263080000000002</v>
      </c>
      <c r="D22" s="23">
        <f>C22*(D23/100+1)</f>
        <v>58.076269808791601</v>
      </c>
      <c r="E22" s="78">
        <f t="shared" ref="E22:F22" si="1">D22*(E23/100+1)</f>
        <v>59.853910090013358</v>
      </c>
      <c r="F22" s="78">
        <f t="shared" si="1"/>
        <v>61.828244584312429</v>
      </c>
      <c r="G22" s="78">
        <f>F22*(G23/100+1)</f>
        <v>63.659913131229587</v>
      </c>
      <c r="H22" s="23">
        <f>IF(AND(H49&gt;1,G49&gt;1),IF(AND(H49&gt;0,G49&gt;0),H26*(H50/100+1),0)+IF(H49&gt;0,G22*(1+H51/100),0)-G22*(1+'Input data'!H30/100),IF(H49=1,H26,G22*(1+H51/100)))</f>
        <v>64.966408711417472</v>
      </c>
      <c r="I22" s="23">
        <f>IF(AND(I49&gt;1,H49&gt;1),IF(AND(I49&gt;0,H49&gt;0),I26*(I50/100+1),0)+IF(I49&gt;0,H22*(1+I51/100),0)-H22*(1+'Input data'!I30/100),IF(I49=1,I26,H22*(1+I51/100)))</f>
        <v>65.907616703929094</v>
      </c>
      <c r="J22" s="23">
        <f>IF(AND(J49&gt;1,I49&gt;1),IF(AND(J49&gt;0,I49&gt;0),J26*(J50/100+1),0)+IF(J49&gt;0,I22*(1+J51/100),0)-I22*(1+'Input data'!J30/100),IF(J49=1,J26,I22*(1+J51/100)))</f>
        <v>67.018898869773551</v>
      </c>
      <c r="K22" s="23">
        <f>IF(AND(K49&gt;1,J49&gt;1),IF(AND(K49&gt;0,J49&gt;0),K26*(K50/100+1),0)+IF(K49&gt;0,J22*(1+K51/100),0)-J22*(1+'Input data'!K30/100),IF(K49=1,K26,J22*(1+K51/100)))</f>
        <v>68.385796225451784</v>
      </c>
      <c r="L22" s="23">
        <f>IF(AND(L49&gt;1,K49&gt;1),IF(AND(L49&gt;0,K49&gt;0),L26*(L50/100+1),0)+IF(L49&gt;0,K22*(1+L51/100),0)-K22*(1+'Input data'!L30/100),IF(L49=1,L26,K22*(1+L51/100)))</f>
        <v>69.695252238582469</v>
      </c>
      <c r="M22" s="23">
        <f>IF(AND(M49&gt;1,L49&gt;1),IF(AND(M49&gt;0,L49&gt;0),M26*(M50/100+1),0)+IF(M49&gt;0,L22*(1+M51/100),0)-L22*(1+'Input data'!M30/100),IF(M49=1,M26,L22*(1+M51/100)))</f>
        <v>70.937653047085377</v>
      </c>
      <c r="N22" s="23">
        <f>IF(AND(N49&gt;1,M49&gt;1),IF(AND(N49&gt;0,M49&gt;0),N26*(N50/100+1),0)+IF(N49&gt;0,M22*(1+N51/100),0)-M22*(1+'Input data'!N30/100),IF(N49=1,N26,M22*(1+N51/100)))</f>
        <v>72.141335203389332</v>
      </c>
      <c r="O22" s="23">
        <f>IF(AND(O49&gt;1,N49&gt;1),IF(AND(O49&gt;0,N49&gt;0),O26*(O50/100+1),0)+IF(O49&gt;0,N22*(1+O51/100),0)-N22*(1+'Input data'!O30/100),IF(O49=1,O26,N22*(1+O51/100)))</f>
        <v>73.315300529527676</v>
      </c>
      <c r="P22" s="23">
        <f>IF(AND(P49&gt;1,O49&gt;1),IF(AND(P49&gt;0,O49&gt;0),P26*(P50/100+1),0)+IF(P49&gt;0,O22*(1+P51/100),0)-O22*(1+'Input data'!P30/100),IF(P49=1,P26,O22*(1+P51/100)))</f>
        <v>74.467804590250765</v>
      </c>
      <c r="Q22" s="23">
        <f>IF(AND(Q49&gt;1,P49&gt;1),IF(AND(Q49&gt;0,P49&gt;0),Q26*(Q50/100+1),0)+IF(Q49&gt;0,P22*(1+Q51/100),0)-P22*(1+'Input data'!Q30/100),IF(Q49=1,Q26,P22*(1+Q51/100)))</f>
        <v>75.597229484705352</v>
      </c>
      <c r="R22" s="23">
        <f>IF(AND(R49&gt;1,Q49&gt;1),IF(AND(R49&gt;0,Q49&gt;0),R26*(R50/100+1),0)+IF(R49&gt;0,Q22*(1+R51/100),0)-Q22*(1+'Input data'!R30/100),IF(R49=1,R26,Q22*(1+R51/100)))</f>
        <v>76.701958258195674</v>
      </c>
      <c r="S22" s="23">
        <f>IF(AND(S49&gt;1,R49&gt;1),IF(AND(S49&gt;0,R49&gt;0),S26*(S50/100+1),0)+IF(S49&gt;0,R22*(1+S51/100),0)-R22*(1+'Input data'!S30/100),IF(S49=1,S26,R22*(1+S51/100)))</f>
        <v>77.879402349221408</v>
      </c>
      <c r="T22" s="23">
        <f>IF(AND(T49&gt;1,S49&gt;1),IF(AND(T49&gt;0,S49&gt;0),T26*(T50/100+1),0)+IF(T49&gt;0,S22*(1+T51/100),0)-S22*(1+'Input data'!T30/100),IF(T49=1,T26,S22*(1+T51/100)))</f>
        <v>79.097701770725237</v>
      </c>
      <c r="U22" s="23">
        <f>IF(AND(U49&gt;1,T49&gt;1),IF(AND(U49&gt;0,T49&gt;0),U26*(U50/100+1),0)+IF(U49&gt;0,T22*(1+U51/100),0)-T22*(1+'Input data'!U30/100),IF(U49=1,U26,T22*(1+U51/100)))</f>
        <v>80.382140874607416</v>
      </c>
      <c r="V22" s="23">
        <f>IF(AND(V49&gt;1,U49&gt;1),IF(AND(V49&gt;0,U49&gt;0),V26*(V50/100+1),0)+IF(V49&gt;0,U22*(1+V51/100),0)-U22*(1+'Input data'!V30/100),IF(V49=1,V26,U22*(1+V51/100)))</f>
        <v>81.729171126420141</v>
      </c>
      <c r="W22" s="23">
        <f>IF(AND(W49&gt;1,V49&gt;1),IF(AND(W49&gt;0,V49&gt;0),W26*(W50/100+1),0)+IF(W49&gt;0,V22*(1+W51/100),0)-V22*(1+'Input data'!W30/100),IF(W49=1,W26,V22*(1+W51/100)))</f>
        <v>83.089255685636502</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13.04114</v>
      </c>
      <c r="D23" s="23">
        <f>+'Input data'!D30</f>
        <v>7.0272269999999999</v>
      </c>
      <c r="E23" s="78">
        <f>+'Input data'!E30</f>
        <v>3.0608719999999998</v>
      </c>
      <c r="F23" s="78">
        <f>+'Input data'!F30</f>
        <v>3.2985890000000002</v>
      </c>
      <c r="G23" s="78">
        <f>+'Input data'!G30</f>
        <v>2.9625110000000001</v>
      </c>
      <c r="H23" s="23">
        <f>100*(H22/G22-1)</f>
        <v>2.0523049999999987</v>
      </c>
      <c r="I23" s="23">
        <f>100*(I22/H22-1)</f>
        <v>1.4487609999999984</v>
      </c>
      <c r="J23" s="23">
        <f t="shared" ref="J23:T23" si="2">100*(J22/I22-1)</f>
        <v>1.6861210000000071</v>
      </c>
      <c r="K23" s="23">
        <f t="shared" si="2"/>
        <v>2.0395699999999906</v>
      </c>
      <c r="L23" s="23">
        <f t="shared" si="2"/>
        <v>1.9148069999999962</v>
      </c>
      <c r="M23" s="23">
        <f t="shared" si="2"/>
        <v>1.7826190000000075</v>
      </c>
      <c r="N23" s="23">
        <f t="shared" si="2"/>
        <v>1.6968169999999949</v>
      </c>
      <c r="O23" s="23">
        <f t="shared" si="2"/>
        <v>1.627313000000008</v>
      </c>
      <c r="P23" s="23">
        <f t="shared" si="2"/>
        <v>1.5719830000000101</v>
      </c>
      <c r="Q23" s="23">
        <f t="shared" si="2"/>
        <v>1.516662000000002</v>
      </c>
      <c r="R23" s="23">
        <f t="shared" si="2"/>
        <v>1.461335000000008</v>
      </c>
      <c r="S23" s="23">
        <f t="shared" si="2"/>
        <v>1.5350900000000056</v>
      </c>
      <c r="T23" s="23">
        <f t="shared" si="2"/>
        <v>1.5643410000000024</v>
      </c>
      <c r="U23" s="23">
        <f t="shared" ref="U23" si="3">100*(U22/T22-1)</f>
        <v>1.6238640000000082</v>
      </c>
      <c r="V23" s="23">
        <f t="shared" ref="V23" si="4">100*(V22/U22-1)</f>
        <v>1.6757829999999974</v>
      </c>
      <c r="W23" s="23">
        <f t="shared" ref="W23" si="5">100*(W22/V22-1)</f>
        <v>1.6641359999999938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9"/>
      <c r="B25" s="19" t="s">
        <v>62</v>
      </c>
      <c r="C25" s="158"/>
      <c r="D25" s="158"/>
      <c r="E25" s="158"/>
      <c r="F25" s="158"/>
      <c r="H25" s="185"/>
      <c r="I25" s="185"/>
      <c r="J25" s="185"/>
      <c r="K25" s="185"/>
      <c r="L25" s="185"/>
      <c r="M25" s="185"/>
      <c r="N25" s="185"/>
      <c r="O25" s="185"/>
      <c r="P25" s="185"/>
      <c r="Q25" s="185"/>
      <c r="R25" s="185"/>
      <c r="S25" s="185"/>
      <c r="T25" s="185"/>
    </row>
    <row r="26" spans="1:50" x14ac:dyDescent="0.2">
      <c r="B26" s="15" t="s">
        <v>39</v>
      </c>
      <c r="C26" s="23">
        <f>'Input data'!C34</f>
        <v>54.062049999999999</v>
      </c>
      <c r="D26" s="23">
        <f>+C26*(1+'Input data'!D33/100)</f>
        <v>56.073728074007001</v>
      </c>
      <c r="E26" s="78">
        <f>+D26*(1+'Input data'!E33/100)</f>
        <v>58.378845017808374</v>
      </c>
      <c r="F26" s="78">
        <f>+E26*(1+'Input data'!F33/100)</f>
        <v>60.49657381571329</v>
      </c>
      <c r="G26" s="78">
        <f>+F26*(1+'Input data'!G33/100)</f>
        <v>62.457947149604507</v>
      </c>
      <c r="H26" s="23">
        <f>+G26*(1+'Input data'!H33/100)</f>
        <v>64.14347728446991</v>
      </c>
      <c r="I26" s="23">
        <f>+H26*(1+'Input data'!I33/100)</f>
        <v>65.626964535453311</v>
      </c>
      <c r="J26" s="23">
        <f>+I26*(1+'Input data'!J33/100)</f>
        <v>67.018903265475231</v>
      </c>
      <c r="K26" s="23">
        <f>+J26*(1+'Input data'!K33/100)</f>
        <v>68.385800040617852</v>
      </c>
      <c r="L26" s="23">
        <f>+K26*(1+'Input data'!L33/100)</f>
        <v>69.695258862233601</v>
      </c>
      <c r="M26" s="23">
        <f>+L26*(1+'Input data'!M33/100)</f>
        <v>70.937661182716141</v>
      </c>
      <c r="N26" s="23">
        <f>+M26*(1+'Input data'!N33/100)</f>
        <v>72.141339930183818</v>
      </c>
      <c r="O26" s="23">
        <f>+N26*(1+'Input data'!O33/100)</f>
        <v>73.315303169001695</v>
      </c>
      <c r="P26" s="23">
        <f>+O26*(1+'Input data'!P33/100)</f>
        <v>74.4678080043699</v>
      </c>
      <c r="Q26" s="23">
        <f>+P26*(1+'Input data'!Q33/100)</f>
        <v>75.597230716570891</v>
      </c>
      <c r="R26" s="23">
        <f>+Q26*(1+'Input data'!R33/100)</f>
        <v>76.701957996118281</v>
      </c>
      <c r="S26" s="23">
        <f>+R26*(1+'Input data'!S33/100)</f>
        <v>77.879401316101308</v>
      </c>
      <c r="T26" s="23">
        <f>+S26*(1+'Input data'!T33/100)</f>
        <v>79.097700721443616</v>
      </c>
      <c r="U26" s="23">
        <f>+T26*(1+'Input data'!U33/100)</f>
        <v>80.38213980828688</v>
      </c>
      <c r="V26" s="23">
        <f>+U26*(1+'Input data'!V33/100)</f>
        <v>81.729174061337361</v>
      </c>
      <c r="W26" s="23">
        <f>+V26*(1+'Input data'!W33/100)</f>
        <v>83.089258669394738</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63</v>
      </c>
      <c r="C29" s="23">
        <f t="shared" ref="C29:T29" si="6">100*(C22/C26-1)</f>
        <v>0.37185049401566861</v>
      </c>
      <c r="D29" s="23">
        <f t="shared" si="6"/>
        <v>3.5712655526338732</v>
      </c>
      <c r="E29" s="78">
        <f t="shared" si="6"/>
        <v>2.5267116397301503</v>
      </c>
      <c r="F29" s="78">
        <f t="shared" si="6"/>
        <v>2.2012333667948303</v>
      </c>
      <c r="G29" s="78">
        <f t="shared" si="6"/>
        <v>1.9244404218826228</v>
      </c>
      <c r="H29" s="23">
        <f>100*(H22/H26-1)</f>
        <v>1.2829541861254956</v>
      </c>
      <c r="I29" s="23">
        <f t="shared" si="6"/>
        <v>0.42764764523608445</v>
      </c>
      <c r="J29" s="23">
        <f t="shared" si="6"/>
        <v>-6.5588982578468347E-6</v>
      </c>
      <c r="K29" s="23">
        <f t="shared" si="6"/>
        <v>-5.5788863528860588E-6</v>
      </c>
      <c r="L29" s="23">
        <f t="shared" si="6"/>
        <v>-9.5037327341174205E-6</v>
      </c>
      <c r="M29" s="23">
        <f t="shared" si="6"/>
        <v>-1.146870453050397E-5</v>
      </c>
      <c r="N29" s="23">
        <f t="shared" si="6"/>
        <v>-6.5521301495508055E-6</v>
      </c>
      <c r="O29" s="23">
        <f t="shared" si="6"/>
        <v>-3.6001679082353633E-6</v>
      </c>
      <c r="P29" s="23">
        <f t="shared" si="6"/>
        <v>-4.5846913265812361E-6</v>
      </c>
      <c r="Q29" s="23">
        <f t="shared" si="6"/>
        <v>-1.6295114591002857E-6</v>
      </c>
      <c r="R29" s="23">
        <f t="shared" si="6"/>
        <v>3.4168279317015049E-7</v>
      </c>
      <c r="S29" s="23">
        <f t="shared" si="6"/>
        <v>1.3265639919879391E-6</v>
      </c>
      <c r="T29" s="23">
        <f t="shared" si="6"/>
        <v>1.3265639919879391E-6</v>
      </c>
      <c r="U29" s="23">
        <f t="shared" ref="U29:W29" si="7">100*(U22/U26-1)</f>
        <v>1.3265640141923996E-6</v>
      </c>
      <c r="V29" s="23">
        <f t="shared" si="7"/>
        <v>-3.5910276308115385E-6</v>
      </c>
      <c r="W29" s="23">
        <f t="shared" si="7"/>
        <v>-3.5910276308115385E-6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8">100*((1+C23/100)*(1+C41/100)-1)</f>
        <v>15.453914961210803</v>
      </c>
      <c r="D32" s="1">
        <f t="shared" si="8"/>
        <v>16.181890764315664</v>
      </c>
      <c r="E32" s="2">
        <f t="shared" si="8"/>
        <v>11.844406927856244</v>
      </c>
      <c r="F32" s="2">
        <f t="shared" si="8"/>
        <v>9.0098037410534904</v>
      </c>
      <c r="G32" s="2">
        <f>100*((1+G23/100)*(1+G41/100)-1)</f>
        <v>5.1778173794222448</v>
      </c>
      <c r="H32" s="1">
        <f>100*((1+H23/100)*(1+H41/100)-1)</f>
        <v>4.2988540817092691</v>
      </c>
      <c r="I32" s="1">
        <f t="shared" si="8"/>
        <v>3.7325496381979573</v>
      </c>
      <c r="J32" s="1">
        <f t="shared" si="8"/>
        <v>4.0258970359092983</v>
      </c>
      <c r="K32" s="1">
        <f t="shared" si="8"/>
        <v>4.4382988648330901</v>
      </c>
      <c r="L32" s="1">
        <f t="shared" si="8"/>
        <v>4.3613608627041112</v>
      </c>
      <c r="M32" s="1">
        <f t="shared" si="8"/>
        <v>4.2766916444533898</v>
      </c>
      <c r="N32" s="1">
        <f t="shared" si="8"/>
        <v>4.2394364965192777</v>
      </c>
      <c r="O32" s="1">
        <f t="shared" si="8"/>
        <v>4.2188094815000188</v>
      </c>
      <c r="P32" s="1">
        <f t="shared" si="8"/>
        <v>4.1341362711750262</v>
      </c>
      <c r="Q32" s="1">
        <f t="shared" si="8"/>
        <v>4.0495027169000108</v>
      </c>
      <c r="R32" s="1">
        <f t="shared" si="8"/>
        <v>3.9648934411250059</v>
      </c>
      <c r="S32" s="1">
        <f t="shared" si="8"/>
        <v>4.0125461959999997</v>
      </c>
      <c r="T32" s="1">
        <f t="shared" si="8"/>
        <v>4.0145807266249944</v>
      </c>
      <c r="U32" s="1">
        <f t="shared" si="8"/>
        <v>4.0475931563999978</v>
      </c>
      <c r="V32" s="1">
        <f t="shared" si="8"/>
        <v>4.0727895842249895</v>
      </c>
      <c r="W32" s="1">
        <f t="shared" si="8"/>
        <v>4.0329103688000023</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65</v>
      </c>
    </row>
    <row r="35" spans="2:51" x14ac:dyDescent="0.2">
      <c r="B35" s="15" t="s">
        <v>41</v>
      </c>
      <c r="C35" s="1">
        <f>'Input data'!C37</f>
        <v>2.0416150000000002</v>
      </c>
      <c r="D35" s="1">
        <f>'Input data'!D37</f>
        <v>2.038402</v>
      </c>
      <c r="E35" s="2">
        <f>'Input data'!E37</f>
        <v>2.7909440000000001</v>
      </c>
      <c r="F35" s="2">
        <f>'Input data'!F37</f>
        <v>2.8182960000000001</v>
      </c>
      <c r="G35" s="2">
        <f>'Input data'!G37</f>
        <v>2.8191980000000001</v>
      </c>
      <c r="H35" s="1">
        <f>H96</f>
        <v>2.91705812942355</v>
      </c>
      <c r="I35" s="1">
        <f t="shared" ref="I35:W35" si="9">I96</f>
        <v>3.0208534407754182</v>
      </c>
      <c r="J35" s="1">
        <f t="shared" si="9"/>
        <v>3.1305612005793386</v>
      </c>
      <c r="K35" s="1">
        <f t="shared" si="9"/>
        <v>3.2434937305883933</v>
      </c>
      <c r="L35" s="1">
        <f t="shared" si="9"/>
        <v>3.3572810399101249</v>
      </c>
      <c r="M35" s="1">
        <f t="shared" si="9"/>
        <v>3.4716806973137562</v>
      </c>
      <c r="N35" s="1">
        <f t="shared" si="9"/>
        <v>3.5865423830524708</v>
      </c>
      <c r="O35" s="1">
        <f t="shared" si="9"/>
        <v>3.7016176795207976</v>
      </c>
      <c r="P35" s="1">
        <f t="shared" si="9"/>
        <v>3.7947989559055046</v>
      </c>
      <c r="Q35" s="1">
        <f t="shared" si="9"/>
        <v>3.8696932980227854</v>
      </c>
      <c r="R35" s="1">
        <f t="shared" si="9"/>
        <v>3.9292935259882862</v>
      </c>
      <c r="S35" s="1">
        <f t="shared" si="9"/>
        <v>3.9760358459428846</v>
      </c>
      <c r="T35" s="1">
        <f>T96</f>
        <v>4.0119399470537545</v>
      </c>
      <c r="U35" s="1">
        <f t="shared" si="9"/>
        <v>4.0387956613571951</v>
      </c>
      <c r="V35" s="1">
        <f t="shared" si="9"/>
        <v>4.0581027879889504</v>
      </c>
      <c r="W35" s="1">
        <f t="shared" si="9"/>
        <v>4.0711303873659741</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66</v>
      </c>
      <c r="C36" s="1"/>
      <c r="D36" s="1"/>
      <c r="E36" s="2">
        <f>'Input data'!E39</f>
        <v>3.8</v>
      </c>
      <c r="F36" s="138">
        <f>'Input data'!F39</f>
        <v>3.3516180000000002</v>
      </c>
      <c r="G36" s="138">
        <f>'Input data'!G39</f>
        <v>3.4386399999999999</v>
      </c>
      <c r="H36" s="1">
        <f>G36+($O$36-$G$36)/($O$10-$G$10)</f>
        <v>3.5561875000000001</v>
      </c>
      <c r="I36" s="1">
        <f t="shared" ref="I36:M36" si="10">H36+($O$36-$G$36)/($O$10-$G$10)</f>
        <v>3.6737350000000002</v>
      </c>
      <c r="J36" s="1">
        <f t="shared" si="10"/>
        <v>3.7912825000000003</v>
      </c>
      <c r="K36" s="1">
        <f t="shared" si="10"/>
        <v>3.9088300000000005</v>
      </c>
      <c r="L36" s="1">
        <f t="shared" si="10"/>
        <v>4.0263775000000006</v>
      </c>
      <c r="M36" s="1">
        <f t="shared" si="10"/>
        <v>4.1439250000000003</v>
      </c>
      <c r="N36" s="1">
        <f>M36+($O$36-$G$36)/($O$10-$G$10)</f>
        <v>4.2614725</v>
      </c>
      <c r="O36" s="179">
        <f>'Input data'!$C$52</f>
        <v>4.3790199999999997</v>
      </c>
      <c r="P36" s="1">
        <f>$O$36+('Input data'!$C$54-'Input data'!$C$52)/20*('Baseline NFPC'!P$10-2033)</f>
        <v>4.3600689999999993</v>
      </c>
      <c r="Q36" s="1">
        <f>$O$36+('Input data'!$C$54-'Input data'!$C$52)/20*('Baseline NFPC'!Q$10-2033)</f>
        <v>4.3411179999999998</v>
      </c>
      <c r="R36" s="1">
        <f>$O$36+('Input data'!$C$54-'Input data'!$C$52)/20*('Baseline NFPC'!R$10-2033)</f>
        <v>4.3221669999999994</v>
      </c>
      <c r="S36" s="1">
        <f>$O$36+('Input data'!$C$54-'Input data'!$C$52)/20*('Baseline NFPC'!S$10-2033)</f>
        <v>4.3032159999999999</v>
      </c>
      <c r="T36" s="1">
        <f>$O$36+('Input data'!$C$54-'Input data'!$C$52)/20*('Baseline NFPC'!T$10-2033)</f>
        <v>4.2842649999999995</v>
      </c>
      <c r="U36" s="1">
        <f>$O$36+('Input data'!$C$54-'Input data'!$C$52)/20*('Baseline NFPC'!U$10-2033)</f>
        <v>4.265314</v>
      </c>
      <c r="V36" s="1">
        <f>$O$36+('Input data'!$C$54-'Input data'!$C$52)/20*('Baseline NFPC'!V$10-2033)</f>
        <v>4.2463629999999997</v>
      </c>
      <c r="W36" s="1">
        <f>$O$36+('Input data'!$C$54-'Input data'!$C$52)/20*('Baseline NFPC'!W$10-2033)</f>
        <v>4.2274120000000002</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67</v>
      </c>
      <c r="C37" s="1"/>
      <c r="D37" s="1"/>
      <c r="E37" s="2">
        <f>'Input data'!E$38</f>
        <v>3.43</v>
      </c>
      <c r="F37" s="138">
        <f>'Input data'!F$38</f>
        <v>3.5642079999999998</v>
      </c>
      <c r="G37" s="138">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179">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68</v>
      </c>
      <c r="C38" s="1">
        <v>7.7560240000000003E-2</v>
      </c>
      <c r="D38" s="1">
        <v>0.10419281</v>
      </c>
      <c r="E38" s="1">
        <v>0.1022535</v>
      </c>
      <c r="F38" s="1">
        <v>9.6918219999999999E-2</v>
      </c>
      <c r="G38" s="1">
        <f>IF(OR($C$3="EL",$C$3="CY",$C$3="IE",$C$3="PT"),VLOOKUP($C$3,$B$110:$T$114,MATCH(G$10,$B$110:$T$110,0),0),$F$38+('Input data'!$C$59-$F$38)/($O$10-$F$10)*(G10-$F$10))</f>
        <v>9.8009879999999994E-2</v>
      </c>
      <c r="H38" s="1">
        <f>IF(OR($C$3="EL",$C$3="CY",$C$3="IE",$C$3="PT"),VLOOKUP($C$3,$B$110:$T$114,MATCH(H$10,$B$110:$T$110,0),0),$F$38+('Input data'!$C$59-$F$38)/($O$10-$F$10)*(H10-$F$10))</f>
        <v>9.9101540000000002E-2</v>
      </c>
      <c r="I38" s="1">
        <f>IF(OR($C$3="EL",$C$3="CY",$C$3="IE",$C$3="PT"),VLOOKUP($C$3,$B$110:$T$114,MATCH(I$10,$B$110:$T$110,0),0),$F$38+('Input data'!$C$59-$F$38)/($O$10-$F$10)*(I10-$F$10))</f>
        <v>0.1001932</v>
      </c>
      <c r="J38" s="1">
        <f>IF(OR($C$3="EL",$C$3="CY",$C$3="IE",$C$3="PT"),VLOOKUP($C$3,$B$110:$T$114,MATCH(J$10,$B$110:$T$110,0),0),$F$38+('Input data'!$C$59-$F$38)/($O$10-$F$10)*(J10-$F$10))</f>
        <v>0.10128486</v>
      </c>
      <c r="K38" s="1">
        <f>IF(OR($C$3="EL",$C$3="CY",$C$3="IE",$C$3="PT"),VLOOKUP($C$3,$B$110:$T$114,MATCH(K$10,$B$110:$T$110,0),0),$F$38+('Input data'!$C$59-$F$38)/($O$10-$F$10)*(K10-$F$10))</f>
        <v>0.10237652</v>
      </c>
      <c r="L38" s="1">
        <f>IF(OR($C$3="EL",$C$3="CY",$C$3="IE",$C$3="PT"),VLOOKUP($C$3,$B$110:$T$114,MATCH(L$10,$B$110:$T$110,0),0),$F$38+('Input data'!$C$59-$F$38)/($O$10-$F$10)*(L10-$F$10))</f>
        <v>0.10346818000000001</v>
      </c>
      <c r="M38" s="1">
        <f>IF(OR($C$3="EL",$C$3="CY",$C$3="IE",$C$3="PT"),VLOOKUP($C$3,$B$110:$T$114,MATCH(M$10,$B$110:$T$110,0),0),$F$38+('Input data'!$C$59-$F$38)/($O$10-$F$10)*(M10-$F$10))</f>
        <v>0.10455984</v>
      </c>
      <c r="N38" s="1">
        <f>IF(OR($C$3="EL",$C$3="CY",$C$3="IE",$C$3="PT"),VLOOKUP($C$3,$B$110:$T$114,MATCH(N$10,$B$110:$T$110,0),0),$F$38+('Input data'!$C$59-$F$38)/($O$10-$F$10)*(N10-$F$10))</f>
        <v>0.10565150000000001</v>
      </c>
      <c r="O38" s="179">
        <f>IF(OR($C$3="EL",$C$3="CY",$C$3="IE",$C$3="PT"),VLOOKUP($C$3,$B$110:$T$114,MATCH(O$10,$B$110:$T$110,0),0),'Input data'!$C$59)</f>
        <v>0.10674316</v>
      </c>
      <c r="P38" s="1">
        <f>IF(OR($C$3="EL",$C$3="CY",$C$3="IE",$C$3="PT"),VLOOKUP($C$3,$B$110:$T$114,MATCH(P$10,$B$110:$T$110,0),0),'Input data'!$C$59)</f>
        <v>0.10674316</v>
      </c>
      <c r="Q38" s="1">
        <f>IF(OR($C$3="EL",$C$3="CY",$C$3="IE",$C$3="PT"),VLOOKUP($C$3,$B$110:$T$114,MATCH(Q$10,$B$110:$T$110,0),0),'Input data'!$C$59)</f>
        <v>0.10674316</v>
      </c>
      <c r="R38" s="1">
        <f>IF(OR($C$3="EL",$C$3="CY",$C$3="IE",$C$3="PT"),VLOOKUP($C$3,$B$110:$T$114,MATCH(R$10,$B$110:$T$110,0),0),'Input data'!$C$59)</f>
        <v>0.10674316</v>
      </c>
      <c r="S38" s="1">
        <f>IF(OR($C$3="EL",$C$3="CY",$C$3="IE",$C$3="PT"),VLOOKUP($C$3,$B$110:$T$114,MATCH(S$10,$B$110:$T$110,0),0),'Input data'!$C$59)</f>
        <v>0.10674316</v>
      </c>
      <c r="T38" s="1">
        <f>IF(OR($C$3="EL",$C$3="CY",$C$3="IE",$C$3="PT"),VLOOKUP($C$3,$B$110:$T$114,MATCH(T$10,$B$110:$T$110,0),0),'Input data'!$C$59)</f>
        <v>0.10674316</v>
      </c>
      <c r="U38" s="1">
        <f>IF(OR($C$3="EL",$C$3="CY",$C$3="IE",$C$3="PT"),VLOOKUP($C$3,$B$110:$W$114,MATCH(U$10,$B$110:$W$110,0),0),'Input data'!$C$59)</f>
        <v>0.10674316</v>
      </c>
      <c r="V38" s="1">
        <f>IF(OR($C$3="EL",$C$3="CY",$C$3="IE",$C$3="PT"),VLOOKUP($C$3,$B$110:$W$114,MATCH(V$10,$B$110:$W$110,0),0),'Input data'!$C$59)</f>
        <v>0.10674316</v>
      </c>
      <c r="W38" s="1">
        <f>IF(OR($C$3="EL",$C$3="CY",$C$3="IE",$C$3="PT"),VLOOKUP($C$3,$B$110:$W$114,MATCH(W$10,$B$110:$W$110,0),0),'Input data'!$C$59)</f>
        <v>0.10674316</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69</v>
      </c>
      <c r="C40" s="1"/>
      <c r="D40" s="1"/>
      <c r="E40" s="1"/>
      <c r="F40" s="1"/>
      <c r="G40" s="81"/>
      <c r="H40" s="81"/>
      <c r="I40" s="81"/>
      <c r="J40" s="81"/>
      <c r="K40" s="81"/>
      <c r="L40" s="81"/>
      <c r="M40" s="81"/>
      <c r="N40" s="1"/>
      <c r="O40" s="81"/>
      <c r="P40" s="81"/>
      <c r="Q40" s="8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2.1344219999999998</v>
      </c>
      <c r="D41" s="1">
        <f>'Input data'!D42</f>
        <v>8.5535840000000007</v>
      </c>
      <c r="E41" s="2">
        <f>'Input data'!E42</f>
        <v>8.5226670000000002</v>
      </c>
      <c r="F41" s="2">
        <f>'Input data'!F42</f>
        <v>5.5288409999999999</v>
      </c>
      <c r="G41" s="2">
        <f>'Input data'!G42</f>
        <v>2.1515659999999999</v>
      </c>
      <c r="H41" s="1">
        <f>$G$41+($O$41-$G$41)/($O$10-$G$10)*(H10-$G$10)</f>
        <v>2.2013702500000001</v>
      </c>
      <c r="I41" s="1">
        <f>$G$41+($O$41-$G$41)/($O$10-$G$10)*(I10-$G$10)</f>
        <v>2.2511744999999999</v>
      </c>
      <c r="J41" s="1">
        <f t="shared" ref="J41:M41" si="12">$G$41+($O$41-$G$41)/($O$10-$G$10)*(J10-$G$10)</f>
        <v>2.3009787499999996</v>
      </c>
      <c r="K41" s="1">
        <f t="shared" si="12"/>
        <v>2.3507829999999998</v>
      </c>
      <c r="L41" s="1">
        <f t="shared" si="12"/>
        <v>2.4005872500000001</v>
      </c>
      <c r="M41" s="1">
        <f t="shared" si="12"/>
        <v>2.4503914999999998</v>
      </c>
      <c r="N41" s="1">
        <f>$G$41+($O$41-$G$41)/($O$10-$G$10)*(N10-$G$10)</f>
        <v>2.5001957499999996</v>
      </c>
      <c r="O41" s="179">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70</v>
      </c>
      <c r="C42" s="1">
        <v>0.97267369999999997</v>
      </c>
      <c r="D42" s="1">
        <v>1.09311</v>
      </c>
      <c r="E42" s="1">
        <v>0.97992279999999998</v>
      </c>
      <c r="F42" s="1">
        <v>1.006683</v>
      </c>
      <c r="G42" s="1">
        <v>1.003601</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71</v>
      </c>
      <c r="C44" s="61"/>
    </row>
    <row r="45" spans="2:51" x14ac:dyDescent="0.2">
      <c r="C45" s="25"/>
    </row>
    <row r="46" spans="2:51" x14ac:dyDescent="0.2">
      <c r="B46" s="39" t="s">
        <v>46</v>
      </c>
      <c r="C46" s="40">
        <f>'Input data'!C49</f>
        <v>0.75</v>
      </c>
    </row>
    <row r="47" spans="2:51" x14ac:dyDescent="0.2">
      <c r="B47" s="41" t="s">
        <v>193</v>
      </c>
      <c r="C47" s="42">
        <f>'Input data'!C50</f>
        <v>0.443</v>
      </c>
    </row>
    <row r="48" spans="2:51" x14ac:dyDescent="0.2">
      <c r="C48" s="43"/>
    </row>
    <row r="49" spans="2:48" outlineLevel="1" x14ac:dyDescent="0.2">
      <c r="B49" s="15" t="s">
        <v>72</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IF(AND(ABS((G12-F12)-('Input data'!G13-'Input data'!F13))&gt;0.0001,ABS(G12-F12)&gt;0.0001,G$10&gt;$C$5),4,IF(F49=4,3,IF(F49=3,2,IF(F49=2,1,0))))</f>
        <v>0</v>
      </c>
      <c r="H49" s="23">
        <f>IF(AND(ABS((H12-G12)-('Input data'!H13-'Input data'!G13))&gt;0.0001,ABS(H12-G12)&gt;0.0001,H$10&gt;$C$5),4,IF(G49=4,3,IF(G49=3,2,IF(G49=2,1,0))))</f>
        <v>0</v>
      </c>
      <c r="I49" s="23">
        <f>IF(AND(ABS((I12-H12)-('Input data'!I13-'Input data'!H13))&gt;0.0001,ABS(I12-H12)&gt;0.0001,I$10&gt;$C$5),4,IF(H49=4,3,IF(H49=3,2,IF(H49=2,1,0))))</f>
        <v>0</v>
      </c>
      <c r="J49" s="23">
        <f>IF(AND(ABS((J12-I12)-('Input data'!J13-'Input data'!I13))&gt;0.0001,ABS(J12-I12)&gt;0.0001,J$10&gt;$C$5),4,IF(I49=4,3,IF(I49=3,2,IF(I49=2,1,0))))</f>
        <v>0</v>
      </c>
      <c r="K49" s="23">
        <f>IF(AND(ABS((K12-J12)-('Input data'!K13-'Input data'!J13))&gt;0.0001,ABS(K12-J12)&gt;0.0001,K$10&gt;$C$5),4,IF(J49=4,3,IF(J49=3,2,IF(J49=2,1,0))))</f>
        <v>0</v>
      </c>
      <c r="L49" s="23">
        <f>IF(AND(ABS((L12-K12)-('Input data'!L13-'Input data'!K13))&gt;0.0001,ABS(L12-K12)&gt;0.0001,L$10&gt;$C$5),4,IF(K49=4,3,IF(K49=3,2,IF(K49=2,1,0))))</f>
        <v>0</v>
      </c>
      <c r="M49" s="23">
        <f>IF(AND(ABS((M12-L12)-('Input data'!M13-'Input data'!L13))&gt;0.0001,ABS(M12-L12)&gt;0.0001,M$10&gt;$C$5),4,IF(L49=4,3,IF(L49=3,2,IF(L49=2,1,0))))</f>
        <v>0</v>
      </c>
      <c r="N49" s="23">
        <f>IF(AND(ABS((N12-M12)-('Input data'!N13-'Input data'!M13))&gt;0.0001,ABS(N12-M12)&gt;0.0001,N$10&gt;$C$5),4,IF(M49=4,3,IF(M49=3,2,IF(M49=2,1,0))))</f>
        <v>0</v>
      </c>
      <c r="O49" s="23">
        <f>IF(AND(ABS((O12-N12)-('Input data'!O13-'Input data'!N13))&gt;0.0001,ABS(O12-N12)&gt;0.0001,O$10&gt;$C$5),4,IF(N49=4,3,IF(N49=3,2,IF(N49=2,1,0))))</f>
        <v>0</v>
      </c>
      <c r="P49" s="23">
        <f>IF(AND(ABS((P12-O12)-('Input data'!P13-'Input data'!O13))&gt;0.0001,ABS(P12-O12)&gt;0.0001,P$10&gt;$C$5),4,IF(O49=4,3,IF(O49=3,2,IF(O49=2,1,0))))</f>
        <v>0</v>
      </c>
      <c r="Q49" s="23">
        <f>IF(AND(ABS((Q12-P12)-('Input data'!Q13-'Input data'!P13))&gt;0.0001,ABS(Q12-P12)&gt;0.0001,Q$10&gt;$C$5),4,IF(P49=4,3,IF(P49=3,2,IF(P49=2,1,0))))</f>
        <v>0</v>
      </c>
      <c r="R49" s="23">
        <f>IF(AND(ABS((R12-Q12)-('Input data'!R13-'Input data'!Q13))&gt;0.0001,ABS(R12-Q12)&gt;0.0001,R$10&gt;$C$5),4,IF(Q49=4,3,IF(Q49=3,2,IF(Q49=2,1,0))))</f>
        <v>0</v>
      </c>
      <c r="S49" s="23">
        <f>IF(AND(ABS((S12-R12)-('Input data'!S13-'Input data'!R13))&gt;0.0001,ABS(S12-R12)&gt;0.0001,S$10&gt;$C$5),4,IF(R49=4,3,IF(R49=3,2,IF(R49=2,1,0))))</f>
        <v>0</v>
      </c>
      <c r="T49" s="23">
        <f>IF(AND(ABS((T12-S12)-('Input data'!T13-'Input data'!S13))&gt;0.0001,ABS(T12-S12)&gt;0.0001,T$10&gt;$C$5),4,IF(S49=4,3,IF(S49=3,2,IF(S49=2,1,0))))</f>
        <v>0</v>
      </c>
      <c r="U49" s="23">
        <f>IF(AND(ABS((U12-T12)-('Input data'!U13-'Input data'!T13))&gt;0.0001,ABS(U12-T12)&gt;0.0001,U$10&gt;$C$5),4,IF(T49=4,3,IF(T49=3,2,IF(T49=2,1,0))))</f>
        <v>0</v>
      </c>
      <c r="V49" s="23">
        <f>IF(AND(ABS((V12-U12)-('Input data'!V13-'Input data'!U13))&gt;0.0001,ABS(V12-U12)&gt;0.0001,V$10&gt;$C$5),4,IF(U49=4,3,IF(U49=3,2,IF(U49=2,1,0))))</f>
        <v>0</v>
      </c>
      <c r="W49" s="23">
        <f>IF(AND(ABS((W12-V12)-('Input data'!W13-'Input data'!V13))&gt;0.0001,ABS(W12-V12)&gt;0.0001,W$10&gt;$C$5),4,IF(V49=4,3,IF(V49=3,2,IF(V49=2,1,0))))</f>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73</v>
      </c>
      <c r="C50" s="23"/>
      <c r="D50" s="23">
        <f t="shared" ref="D50:W50" si="13">IF(C49=4,2/3*C29,IF(C49=3,1/3*B29,0))</f>
        <v>0</v>
      </c>
      <c r="E50" s="23">
        <f t="shared" si="13"/>
        <v>0</v>
      </c>
      <c r="F50" s="23">
        <f t="shared" si="13"/>
        <v>0</v>
      </c>
      <c r="G50" s="23">
        <f t="shared" si="13"/>
        <v>0</v>
      </c>
      <c r="H50" s="23">
        <f t="shared" si="13"/>
        <v>0</v>
      </c>
      <c r="I50" s="23">
        <f t="shared" si="13"/>
        <v>0</v>
      </c>
      <c r="J50" s="23">
        <f t="shared" si="13"/>
        <v>0</v>
      </c>
      <c r="K50" s="23">
        <f t="shared" si="13"/>
        <v>0</v>
      </c>
      <c r="L50" s="23">
        <f t="shared" si="13"/>
        <v>0</v>
      </c>
      <c r="M50" s="23">
        <f t="shared" si="13"/>
        <v>0</v>
      </c>
      <c r="N50" s="23">
        <f t="shared" si="13"/>
        <v>0</v>
      </c>
      <c r="O50" s="23">
        <f t="shared" si="13"/>
        <v>0</v>
      </c>
      <c r="P50" s="23">
        <f t="shared" si="13"/>
        <v>0</v>
      </c>
      <c r="Q50" s="23">
        <f t="shared" si="13"/>
        <v>0</v>
      </c>
      <c r="R50" s="23">
        <f t="shared" si="13"/>
        <v>0</v>
      </c>
      <c r="S50" s="23">
        <f t="shared" si="13"/>
        <v>0</v>
      </c>
      <c r="T50" s="23">
        <f t="shared" si="13"/>
        <v>0</v>
      </c>
      <c r="U50" s="23">
        <f t="shared" si="13"/>
        <v>0</v>
      </c>
      <c r="V50" s="23">
        <f t="shared" si="13"/>
        <v>0</v>
      </c>
      <c r="W50" s="23">
        <f t="shared" si="13"/>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74</v>
      </c>
      <c r="C51" s="23"/>
      <c r="D51" s="23">
        <f>'Input data'!D30-$C$46*((D12-C12)-('Input data'!D13-'Input data'!C13))</f>
        <v>7.0272269999999999</v>
      </c>
      <c r="E51" s="23">
        <f>'Input data'!E30-$C$46*((E12-D12)-('Input data'!E13-'Input data'!D13))</f>
        <v>3.0608719999999998</v>
      </c>
      <c r="F51" s="23">
        <f>'Input data'!F30-$C$46*((F12-E12)-('Input data'!F13-'Input data'!E13))</f>
        <v>3.2985890000000002</v>
      </c>
      <c r="G51" s="23">
        <f>'Input data'!G30-$C$46*((G12-F12)-('Input data'!G13-'Input data'!F13))</f>
        <v>4.4333697499999998</v>
      </c>
      <c r="H51" s="23">
        <f>'Input data'!H30-$C$46*((H12-G12))</f>
        <v>2.052305</v>
      </c>
      <c r="I51" s="23">
        <f>'Input data'!I30-$C$46*((I12-H12))</f>
        <v>1.448761</v>
      </c>
      <c r="J51" s="23">
        <f>'Input data'!J30-$C$46*((J12-I12))</f>
        <v>1.686121</v>
      </c>
      <c r="K51" s="23">
        <f>'Input data'!K30-$C$46*((K12-J12))</f>
        <v>2.0395699999999999</v>
      </c>
      <c r="L51" s="23">
        <f>'Input data'!L30-$C$46*((L12-K12))</f>
        <v>1.9148069999999999</v>
      </c>
      <c r="M51" s="23">
        <f>'Input data'!M30-$C$46*((M12-L12))</f>
        <v>1.782619</v>
      </c>
      <c r="N51" s="23">
        <f>'Input data'!N30-$C$46*((N12-M12))</f>
        <v>1.696817</v>
      </c>
      <c r="O51" s="23">
        <f>'Input data'!O30-$C$46*((O12-N12))</f>
        <v>1.627313</v>
      </c>
      <c r="P51" s="23">
        <f>'Input data'!P30-$C$46*((P12-O12))</f>
        <v>1.5719829999999999</v>
      </c>
      <c r="Q51" s="23">
        <f>'Input data'!Q30-$C$46*((Q12-P12))</f>
        <v>1.516662</v>
      </c>
      <c r="R51" s="23">
        <f>'Input data'!R30-$C$46*((R12-Q12))</f>
        <v>1.4613350000000001</v>
      </c>
      <c r="S51" s="23">
        <f>'Input data'!S30-$C$46*((S12-R12))</f>
        <v>1.5350900000000001</v>
      </c>
      <c r="T51" s="23">
        <f>'Input data'!T30-$C$46*((T12-S12))</f>
        <v>1.564341</v>
      </c>
      <c r="U51" s="23">
        <f>'Input data'!U30-$C$46*((U12-T12))</f>
        <v>1.623864</v>
      </c>
      <c r="V51" s="23">
        <f>'Input data'!V30-$C$46*((V12-U12))</f>
        <v>1.675783</v>
      </c>
      <c r="W51" s="23">
        <f>'Input data'!W30-$C$46*((W12-V12))</f>
        <v>1.6641360000000001</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75</v>
      </c>
      <c r="C53" s="58"/>
      <c r="E53" s="59"/>
      <c r="F53" s="58"/>
    </row>
    <row r="54" spans="2:48" outlineLevel="1" x14ac:dyDescent="0.2">
      <c r="B54" s="30"/>
      <c r="C54" s="18"/>
      <c r="E54" s="31"/>
      <c r="F54" s="18"/>
    </row>
    <row r="55" spans="2:48" outlineLevel="1" x14ac:dyDescent="0.2">
      <c r="B55" s="66"/>
      <c r="C55" s="67">
        <v>2021</v>
      </c>
      <c r="D55" s="67">
        <v>2022</v>
      </c>
      <c r="E55" s="67">
        <v>2023</v>
      </c>
      <c r="F55" s="67">
        <v>2024</v>
      </c>
      <c r="G55" s="67">
        <v>2025</v>
      </c>
      <c r="H55" s="67">
        <v>2026</v>
      </c>
      <c r="I55" s="67">
        <v>2027</v>
      </c>
      <c r="J55" s="67">
        <v>2028</v>
      </c>
      <c r="K55" s="67">
        <v>2029</v>
      </c>
      <c r="L55" s="67">
        <v>2030</v>
      </c>
      <c r="M55" s="67">
        <v>2031</v>
      </c>
      <c r="N55" s="67">
        <v>2032</v>
      </c>
      <c r="O55" s="67">
        <v>2033</v>
      </c>
      <c r="P55" s="67">
        <v>2034</v>
      </c>
      <c r="Q55" s="67">
        <v>2035</v>
      </c>
      <c r="R55" s="67">
        <v>2036</v>
      </c>
      <c r="S55" s="67">
        <v>2037</v>
      </c>
      <c r="T55" s="67">
        <v>2038</v>
      </c>
      <c r="U55" s="67">
        <v>2039</v>
      </c>
      <c r="V55" s="67">
        <v>2040</v>
      </c>
      <c r="W55" s="67">
        <v>2041</v>
      </c>
    </row>
    <row r="56" spans="2:48" ht="10.5" customHeight="1" outlineLevel="1" x14ac:dyDescent="0.2">
      <c r="B56" s="68" t="s">
        <v>76</v>
      </c>
      <c r="C56" s="32">
        <f>+'Input data'!C12</f>
        <v>77.53389</v>
      </c>
      <c r="D56" s="32">
        <f>+C56+D57</f>
        <v>67.78423846018319</v>
      </c>
      <c r="E56" s="32">
        <f t="shared" ref="E56:T56" si="14">+D56+E57</f>
        <v>63.018538203782732</v>
      </c>
      <c r="F56" s="32">
        <f>+E56+F57</f>
        <v>59.525230422292623</v>
      </c>
      <c r="G56" s="32">
        <f>+F56+G57</f>
        <v>59.323909715398628</v>
      </c>
      <c r="H56" s="32">
        <f t="shared" si="14"/>
        <v>59.877775911219466</v>
      </c>
      <c r="I56" s="32">
        <f t="shared" si="14"/>
        <v>61.158386787229368</v>
      </c>
      <c r="J56" s="32">
        <f t="shared" si="14"/>
        <v>62.506710412013071</v>
      </c>
      <c r="K56" s="32">
        <f t="shared" si="14"/>
        <v>63.660359065585226</v>
      </c>
      <c r="L56" s="32">
        <f t="shared" si="14"/>
        <v>64.901456067522204</v>
      </c>
      <c r="M56" s="32">
        <f t="shared" si="14"/>
        <v>66.234955189229638</v>
      </c>
      <c r="N56" s="32">
        <f t="shared" si="14"/>
        <v>67.616800948059932</v>
      </c>
      <c r="O56" s="32">
        <f t="shared" si="14"/>
        <v>69.027559101449498</v>
      </c>
      <c r="P56" s="32">
        <f t="shared" si="14"/>
        <v>70.507982171251868</v>
      </c>
      <c r="Q56" s="32">
        <f t="shared" si="14"/>
        <v>72.065144450816021</v>
      </c>
      <c r="R56" s="32">
        <f>+Q56+R57</f>
        <v>73.689904275011656</v>
      </c>
      <c r="S56" s="32">
        <f t="shared" si="14"/>
        <v>75.25699325201559</v>
      </c>
      <c r="T56" s="32">
        <f t="shared" si="14"/>
        <v>76.78443739827587</v>
      </c>
      <c r="U56" s="32">
        <f t="shared" ref="U56" si="15">+T56+U57</f>
        <v>78.233129186404398</v>
      </c>
      <c r="V56" s="32">
        <f t="shared" ref="V56" si="16">+U56+V57</f>
        <v>79.602584484835631</v>
      </c>
      <c r="W56" s="32">
        <f t="shared" ref="W56" si="17">+V56+W57</f>
        <v>80.942814085302516</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9" t="s">
        <v>77</v>
      </c>
      <c r="C57" s="33"/>
      <c r="D57" s="33">
        <f>-D58+D66+D71</f>
        <v>-9.7496515398168047</v>
      </c>
      <c r="E57" s="33">
        <f t="shared" ref="E57:T57" si="18">-E58+E66+E71</f>
        <v>-4.7657002564004571</v>
      </c>
      <c r="F57" s="33">
        <f>-F58+F66+F71</f>
        <v>-3.4933077814901097</v>
      </c>
      <c r="G57" s="33">
        <f>-G58+G66+G71</f>
        <v>-0.20132070689399709</v>
      </c>
      <c r="H57" s="33">
        <f t="shared" si="18"/>
        <v>0.55386619582083507</v>
      </c>
      <c r="I57" s="33">
        <f t="shared" si="18"/>
        <v>1.2806108760099035</v>
      </c>
      <c r="J57" s="33">
        <f t="shared" si="18"/>
        <v>1.3483236247837027</v>
      </c>
      <c r="K57" s="33">
        <f t="shared" si="18"/>
        <v>1.1536486535721573</v>
      </c>
      <c r="L57" s="33">
        <f t="shared" si="18"/>
        <v>1.2410970019369776</v>
      </c>
      <c r="M57" s="33">
        <f t="shared" si="18"/>
        <v>1.3334991217074319</v>
      </c>
      <c r="N57" s="33">
        <f t="shared" si="18"/>
        <v>1.3818457588303001</v>
      </c>
      <c r="O57" s="33">
        <f t="shared" si="18"/>
        <v>1.4107581533895668</v>
      </c>
      <c r="P57" s="33">
        <f t="shared" si="18"/>
        <v>1.4804230698023688</v>
      </c>
      <c r="Q57" s="33">
        <f t="shared" si="18"/>
        <v>1.5571622795641467</v>
      </c>
      <c r="R57" s="33">
        <f>-R58+R66+R71</f>
        <v>1.6247598241956376</v>
      </c>
      <c r="S57" s="33">
        <f t="shared" si="18"/>
        <v>1.5670889770039351</v>
      </c>
      <c r="T57" s="33">
        <f t="shared" si="18"/>
        <v>1.5274441462602861</v>
      </c>
      <c r="U57" s="33">
        <f t="shared" ref="U57:W57" si="19">-U58+U66+U71</f>
        <v>1.4486917881285317</v>
      </c>
      <c r="V57" s="33">
        <f t="shared" si="19"/>
        <v>1.3694552984312389</v>
      </c>
      <c r="W57" s="33">
        <f t="shared" si="19"/>
        <v>1.3402296004668783</v>
      </c>
    </row>
    <row r="58" spans="2:48" outlineLevel="1" x14ac:dyDescent="0.2">
      <c r="B58" s="65" t="s">
        <v>78</v>
      </c>
      <c r="C58" s="34"/>
      <c r="D58" s="34">
        <f>D59+D60-D61-D62-D63-D64-D65</f>
        <v>1.4897575398168059</v>
      </c>
      <c r="E58" s="34">
        <f>E59+E60-E61-E62-E63-E64-E65</f>
        <v>1.0003652564004566</v>
      </c>
      <c r="F58" s="34">
        <f>F59+F60-F61-F62-F63-F64-F65</f>
        <v>-0.98599861850989012</v>
      </c>
      <c r="G58" s="34">
        <f t="shared" ref="G58:T58" si="20">G59+G60-G61-G62-G63-G64-G65</f>
        <v>-1.1239670931060028</v>
      </c>
      <c r="H58" s="34">
        <f t="shared" si="20"/>
        <v>-1.3398147955464035</v>
      </c>
      <c r="I58" s="34">
        <f t="shared" si="20"/>
        <v>-1.6914248931604154</v>
      </c>
      <c r="J58" s="34">
        <f t="shared" si="20"/>
        <v>-1.8747050055919314</v>
      </c>
      <c r="K58" s="34">
        <f t="shared" si="20"/>
        <v>-1.8687439714466554</v>
      </c>
      <c r="L58" s="34">
        <f t="shared" si="20"/>
        <v>-1.8535850101536007</v>
      </c>
      <c r="M58" s="34">
        <f t="shared" si="20"/>
        <v>-1.8345351806361063</v>
      </c>
      <c r="N58" s="34">
        <f t="shared" si="20"/>
        <v>-1.7967023025936522</v>
      </c>
      <c r="O58" s="34">
        <f t="shared" si="20"/>
        <v>-1.7463103948743861</v>
      </c>
      <c r="P58" s="34">
        <f t="shared" si="20"/>
        <v>-1.7053601310182578</v>
      </c>
      <c r="Q58" s="34">
        <f t="shared" si="20"/>
        <v>-1.6790081218735757</v>
      </c>
      <c r="R58" s="34">
        <f t="shared" si="20"/>
        <v>-1.6494365486345224</v>
      </c>
      <c r="S58" s="34">
        <f t="shared" si="20"/>
        <v>-1.5929555123321504</v>
      </c>
      <c r="T58" s="34">
        <f t="shared" si="20"/>
        <v>-1.5293548123321492</v>
      </c>
      <c r="U58" s="34">
        <f t="shared" ref="U58:W58" si="21">U59+U60-U61-U62-U63-U64-U65</f>
        <v>-1.4551841123321403</v>
      </c>
      <c r="V58" s="34">
        <f t="shared" si="21"/>
        <v>-1.3804955908252388</v>
      </c>
      <c r="W58" s="34">
        <f t="shared" si="21"/>
        <v>-1.3109848908252375</v>
      </c>
    </row>
    <row r="59" spans="2:48" outlineLevel="1" x14ac:dyDescent="0.2">
      <c r="B59" s="64" t="s">
        <v>79</v>
      </c>
      <c r="C59" s="1"/>
      <c r="D59" s="1">
        <f>D12</f>
        <v>0.20019870000000001</v>
      </c>
      <c r="E59" s="1">
        <f>E12</f>
        <v>-0.118968</v>
      </c>
      <c r="F59" s="1">
        <f>F12</f>
        <v>-1.9611449999999999</v>
      </c>
      <c r="G59" s="1">
        <f t="shared" ref="G59:W59" si="22">IF(G12="",F59,G12)</f>
        <v>-1.9611449999999999</v>
      </c>
      <c r="H59" s="1">
        <f>IF(H12="",G59,H12)</f>
        <v>-1.9611449999999999</v>
      </c>
      <c r="I59" s="1">
        <f t="shared" si="22"/>
        <v>-1.9611449999999999</v>
      </c>
      <c r="J59" s="1">
        <f t="shared" si="22"/>
        <v>-1.9611449999999999</v>
      </c>
      <c r="K59" s="1">
        <f t="shared" si="22"/>
        <v>-1.9611449999999999</v>
      </c>
      <c r="L59" s="1">
        <f t="shared" si="22"/>
        <v>-1.9611449999999999</v>
      </c>
      <c r="M59" s="1">
        <f t="shared" si="22"/>
        <v>-1.9611449999999999</v>
      </c>
      <c r="N59" s="1">
        <f t="shared" si="22"/>
        <v>-1.9611449999999999</v>
      </c>
      <c r="O59" s="1">
        <f t="shared" si="22"/>
        <v>-1.9611449999999999</v>
      </c>
      <c r="P59" s="1">
        <f t="shared" si="22"/>
        <v>-1.9611449999999999</v>
      </c>
      <c r="Q59" s="1">
        <f t="shared" si="22"/>
        <v>-1.9611449999999999</v>
      </c>
      <c r="R59" s="1">
        <f t="shared" si="22"/>
        <v>-1.9611449999999999</v>
      </c>
      <c r="S59" s="1">
        <f t="shared" si="22"/>
        <v>-1.9611449999999999</v>
      </c>
      <c r="T59" s="1">
        <f t="shared" si="22"/>
        <v>-1.9611449999999999</v>
      </c>
      <c r="U59" s="1">
        <f t="shared" si="22"/>
        <v>-1.9611449999999999</v>
      </c>
      <c r="V59" s="1">
        <f t="shared" si="22"/>
        <v>-1.9611449999999999</v>
      </c>
      <c r="W59" s="1">
        <f t="shared" si="22"/>
        <v>-1.9611449999999999</v>
      </c>
    </row>
    <row r="60" spans="2:48" outlineLevel="1" x14ac:dyDescent="0.2">
      <c r="B60" s="64" t="s">
        <v>80</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4" t="s">
        <v>81</v>
      </c>
      <c r="C61" s="1"/>
      <c r="D61" s="1">
        <f t="shared" ref="D61:W61" si="23">-$C$47*D29</f>
        <v>-1.5820706398168058</v>
      </c>
      <c r="E61" s="1">
        <f t="shared" si="23"/>
        <v>-1.1193332564004566</v>
      </c>
      <c r="F61" s="1">
        <f t="shared" si="23"/>
        <v>-0.97514638149010979</v>
      </c>
      <c r="G61" s="1">
        <f t="shared" si="23"/>
        <v>-0.85252710689400191</v>
      </c>
      <c r="H61" s="1">
        <f>-$C$47*H29</f>
        <v>-0.56834870445359453</v>
      </c>
      <c r="I61" s="1">
        <f t="shared" si="23"/>
        <v>-0.1894479068395854</v>
      </c>
      <c r="J61" s="1">
        <f>-$C$47*J29</f>
        <v>2.9055919282261478E-6</v>
      </c>
      <c r="K61" s="1">
        <f t="shared" si="23"/>
        <v>2.4714466543285241E-6</v>
      </c>
      <c r="L61" s="1">
        <f t="shared" si="23"/>
        <v>4.2101536012140169E-6</v>
      </c>
      <c r="M61" s="1">
        <f t="shared" si="23"/>
        <v>5.0806361070132585E-6</v>
      </c>
      <c r="N61" s="1">
        <f t="shared" si="23"/>
        <v>2.902593656251007E-6</v>
      </c>
      <c r="O61" s="1">
        <f t="shared" si="23"/>
        <v>1.594874383348266E-6</v>
      </c>
      <c r="P61" s="1">
        <f t="shared" si="23"/>
        <v>2.0310182576754878E-6</v>
      </c>
      <c r="Q61" s="1">
        <f t="shared" si="23"/>
        <v>7.2187357638142655E-7</v>
      </c>
      <c r="R61" s="1">
        <f t="shared" si="23"/>
        <v>-1.5136547737437667E-7</v>
      </c>
      <c r="S61" s="1">
        <f t="shared" si="23"/>
        <v>-5.8766784845065705E-7</v>
      </c>
      <c r="T61" s="1">
        <f t="shared" si="23"/>
        <v>-5.8766784845065705E-7</v>
      </c>
      <c r="U61" s="1">
        <f t="shared" si="23"/>
        <v>-5.8766785828723298E-7</v>
      </c>
      <c r="V61" s="1">
        <f t="shared" si="23"/>
        <v>1.5908252404495117E-6</v>
      </c>
      <c r="W61" s="1">
        <f t="shared" si="23"/>
        <v>1.5908252404495117E-6</v>
      </c>
    </row>
    <row r="62" spans="2:48" outlineLevel="1" x14ac:dyDescent="0.2">
      <c r="B62" s="64" t="s">
        <v>82</v>
      </c>
      <c r="C62" s="1"/>
      <c r="D62" s="1">
        <f t="shared" ref="D62:W62" si="24">-D13</f>
        <v>0.29251179999999999</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64" t="s">
        <v>83</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1.4510000000004908E-2</v>
      </c>
      <c r="H63" s="1">
        <f>IF(H$55&lt;=$C$5,0,HLOOKUP(H$55,'Input data'!$C$9:$BB$26,12,FALSE)-HLOOKUP($C$5,'Input data'!$C$9:$BB$26,12,FALSE))</f>
        <v>-5.4660000000001929E-2</v>
      </c>
      <c r="I63" s="1">
        <f>IF(I$55&lt;=$C$5,0,HLOOKUP(I$55,'Input data'!$C$9:$BB$26,12,FALSE)-HLOOKUP($C$5,'Input data'!$C$9:$BB$26,12,FALSE))</f>
        <v>-8.2789999999999253E-2</v>
      </c>
      <c r="J63" s="1">
        <f>IF(J$55&lt;=$C$5,0,HLOOKUP(J$55,'Input data'!$C$9:$BB$26,12,FALSE)-HLOOKUP($C$5,'Input data'!$C$9:$BB$26,12,FALSE))</f>
        <v>-8.9799999999996771E-2</v>
      </c>
      <c r="K63" s="1">
        <f>IF(K$55&lt;=$C$5,0,HLOOKUP(K$55,'Input data'!$C$9:$BB$26,12,FALSE)-HLOOKUP($C$5,'Input data'!$C$9:$BB$26,12,FALSE))</f>
        <v>-9.6599999999998687E-2</v>
      </c>
      <c r="L63" s="1">
        <f>IF(L$55&lt;=$C$5,0,HLOOKUP(L$55,'Input data'!$C$9:$BB$26,12,FALSE)-HLOOKUP($C$5,'Input data'!$C$9:$BB$26,12,FALSE))</f>
        <v>-0.11260000000000048</v>
      </c>
      <c r="M63" s="1">
        <f>IF(M$55&lt;=$C$5,0,HLOOKUP(M$55,'Input data'!$C$9:$BB$26,12,FALSE)-HLOOKUP($C$5,'Input data'!$C$9:$BB$26,12,FALSE))</f>
        <v>-0.13249000000000066</v>
      </c>
      <c r="N63" s="1">
        <f>IF(N$55&lt;=$C$5,0,HLOOKUP(N$55,'Input data'!$C$9:$BB$26,12,FALSE)-HLOOKUP($C$5,'Input data'!$C$9:$BB$26,12,FALSE))</f>
        <v>-0.17116000000000398</v>
      </c>
      <c r="O63" s="1">
        <f>IF(O$55&lt;=$C$5,0,HLOOKUP(O$55,'Input data'!$C$9:$BB$26,12,FALSE)-HLOOKUP($C$5,'Input data'!$C$9:$BB$26,12,FALSE))</f>
        <v>-0.2223899999999972</v>
      </c>
      <c r="P63" s="1">
        <f>IF(P$55&lt;=$C$5,0,HLOOKUP(P$55,'Input data'!$C$9:$BB$26,12,FALSE)-HLOOKUP($C$5,'Input data'!$C$9:$BB$26,12,FALSE))</f>
        <v>-0.26417999999999964</v>
      </c>
      <c r="Q63" s="1">
        <f>IF(Q$55&lt;=$C$5,0,HLOOKUP(Q$55,'Input data'!$C$9:$BB$26,12,FALSE)-HLOOKUP($C$5,'Input data'!$C$9:$BB$26,12,FALSE))</f>
        <v>-0.29137000000000057</v>
      </c>
      <c r="R63" s="1">
        <f>IF(R$55&lt;=$C$5,0,HLOOKUP(R$55,'Input data'!$C$9:$BB$26,12,FALSE)-HLOOKUP($C$5,'Input data'!$C$9:$BB$26,12,FALSE))</f>
        <v>-0.3217800000000004</v>
      </c>
      <c r="S63" s="1">
        <f>IF(S$55&lt;=$C$5,0,HLOOKUP(S$55,'Input data'!$C$9:$BB$26,12,FALSE)-HLOOKUP($C$5,'Input data'!$C$9:$BB$26,12,FALSE))</f>
        <v>-0.3791000000000011</v>
      </c>
      <c r="T63" s="1">
        <f>IF(T$55&lt;=$C$5,0,HLOOKUP(T$55,'Input data'!$C$9:$BB$26,12,FALSE)-HLOOKUP($C$5,'Input data'!$C$9:$BB$26,12,FALSE))</f>
        <v>-0.44354000000000227</v>
      </c>
      <c r="U63" s="1">
        <f>IF(U$55&lt;=$C$5,0,HLOOKUP(U$55,'Input data'!$C$9:$BB$26,12,FALSE)-HLOOKUP($C$5,'Input data'!$C$9:$BB$26,12,FALSE))</f>
        <v>-0.51855000000000118</v>
      </c>
      <c r="V63" s="1">
        <f>IF(V$55&lt;=$C$5,0,HLOOKUP(V$55,'Input data'!$C$9:$BB$26,12,FALSE)-HLOOKUP($C$5,'Input data'!$C$9:$BB$26,12,FALSE))</f>
        <v>-0.59408000000000172</v>
      </c>
      <c r="W63" s="1">
        <f>IF(W$55&lt;=$C$5,0,HLOOKUP(W$55,'Input data'!$C$9:$BB$26,12,FALSE)-HLOOKUP($C$5,'Input data'!$C$9:$BB$26,12,FALSE))</f>
        <v>-0.66443000000000296</v>
      </c>
    </row>
    <row r="64" spans="2:48" outlineLevel="1" x14ac:dyDescent="0.2">
      <c r="B64" s="64" t="s">
        <v>84</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8.3919999999992889E-4</v>
      </c>
      <c r="H64" s="1">
        <f>IF(H$55&lt;=$C$5,0,-HLOOKUP(H$55,'Input data'!$C$9:$BB$26,18,FALSE)+HLOOKUP($C$5,'Input data'!$C$9:$BB$26,18,FALSE))</f>
        <v>1.6785000000000272E-3</v>
      </c>
      <c r="I64" s="1">
        <f>IF(I$55&lt;=$C$5,0,-HLOOKUP(I$55,'Input data'!$C$9:$BB$26,18,FALSE)+HLOOKUP($C$5,'Input data'!$C$9:$BB$26,18,FALSE))</f>
        <v>2.5178000000000145E-3</v>
      </c>
      <c r="J64" s="1">
        <f>IF(J$55&lt;=$C$5,0,-HLOOKUP(J$55,'Input data'!$C$9:$BB$26,18,FALSE)+HLOOKUP($C$5,'Input data'!$C$9:$BB$26,18,FALSE))</f>
        <v>3.3571000000000017E-3</v>
      </c>
      <c r="K64" s="1">
        <f>IF(K$55&lt;=$C$5,0,-HLOOKUP(K$55,'Input data'!$C$9:$BB$26,18,FALSE)+HLOOKUP($C$5,'Input data'!$C$9:$BB$26,18,FALSE))</f>
        <v>4.1964999999999364E-3</v>
      </c>
      <c r="L64" s="1">
        <f>IF(L$55&lt;=$C$5,0,-HLOOKUP(L$55,'Input data'!$C$9:$BB$26,18,FALSE)+HLOOKUP($C$5,'Input data'!$C$9:$BB$26,18,FALSE))</f>
        <v>5.0357999999999237E-3</v>
      </c>
      <c r="M64" s="1">
        <f>IF(M$55&lt;=$C$5,0,-HLOOKUP(M$55,'Input data'!$C$9:$BB$26,18,FALSE)+HLOOKUP($C$5,'Input data'!$C$9:$BB$26,18,FALSE))</f>
        <v>5.875100000000022E-3</v>
      </c>
      <c r="N64" s="1">
        <f>IF(N$55&lt;=$C$5,0,-HLOOKUP(N$55,'Input data'!$C$9:$BB$26,18,FALSE)+HLOOKUP($C$5,'Input data'!$C$9:$BB$26,18,FALSE))</f>
        <v>6.7144000000000092E-3</v>
      </c>
      <c r="O64" s="1">
        <f>IF(O$55&lt;=$C$5,0,-HLOOKUP(O$55,'Input data'!$C$9:$BB$26,18,FALSE)+HLOOKUP($C$5,'Input data'!$C$9:$BB$26,18,FALSE))</f>
        <v>7.5537999999999439E-3</v>
      </c>
      <c r="P64" s="1">
        <f>IF(P$55&lt;=$C$5,0,-HLOOKUP(P$55,'Input data'!$C$9:$BB$26,18,FALSE)+HLOOKUP($C$5,'Input data'!$C$9:$BB$26,18,FALSE))</f>
        <v>8.3930999999999312E-3</v>
      </c>
      <c r="Q64" s="1">
        <f>IF(Q$55&lt;=$C$5,0,-HLOOKUP(Q$55,'Input data'!$C$9:$BB$26,18,FALSE)+HLOOKUP($C$5,'Input data'!$C$9:$BB$26,18,FALSE))</f>
        <v>9.2324000000000295E-3</v>
      </c>
      <c r="R64" s="1">
        <f>IF(R$55&lt;=$C$5,0,-HLOOKUP(R$55,'Input data'!$C$9:$BB$26,18,FALSE)+HLOOKUP($C$5,'Input data'!$C$9:$BB$26,18,FALSE))</f>
        <v>1.0071700000000017E-2</v>
      </c>
      <c r="S64" s="1">
        <f>IF(S$55&lt;=$C$5,0,-HLOOKUP(S$55,'Input data'!$C$9:$BB$26,18,FALSE)+HLOOKUP($C$5,'Input data'!$C$9:$BB$26,18,FALSE))</f>
        <v>1.0911099999999951E-2</v>
      </c>
      <c r="T64" s="1">
        <f>IF(T$55&lt;=$C$5,0,-HLOOKUP(T$55,'Input data'!$C$9:$BB$26,18,FALSE)+HLOOKUP($C$5,'Input data'!$C$9:$BB$26,18,FALSE))</f>
        <v>1.1750399999999939E-2</v>
      </c>
      <c r="U64" s="1">
        <f>IF(U$55&lt;=$C$5,0,-HLOOKUP(U$55,'Input data'!$C$9:$BB$26,18,FALSE)+HLOOKUP($C$5,'Input data'!$C$9:$BB$26,18,FALSE))</f>
        <v>1.2589699999999926E-2</v>
      </c>
      <c r="V64" s="1">
        <f>IF(V$55&lt;=$C$5,0,-HLOOKUP(V$55,'Input data'!$C$9:$BB$26,18,FALSE)+HLOOKUP($C$5,'Input data'!$C$9:$BB$26,18,FALSE))</f>
        <v>1.3429000000000024E-2</v>
      </c>
      <c r="W64" s="1">
        <f>IF(W$55&lt;=$C$5,0,-HLOOKUP(W$55,'Input data'!$C$9:$BB$26,18,FALSE)+HLOOKUP($C$5,'Input data'!$C$9:$BB$26,18,FALSE))</f>
        <v>1.4268300000000012E-2</v>
      </c>
    </row>
    <row r="65" spans="2:23" outlineLevel="1" x14ac:dyDescent="0.2">
      <c r="B65" s="64" t="s">
        <v>85</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5" t="s">
        <v>86</v>
      </c>
      <c r="C66" s="34"/>
      <c r="D66" s="34">
        <f>SUM(D67:D70)</f>
        <v>-9.3119859999999992</v>
      </c>
      <c r="E66" s="34">
        <f t="shared" ref="E66:T66" si="25">SUM(E67:E70)</f>
        <v>-5.5208849999999998</v>
      </c>
      <c r="F66" s="34">
        <f t="shared" si="25"/>
        <v>-3.568419</v>
      </c>
      <c r="G66" s="34">
        <f>SUM(G67:G70)</f>
        <v>-1.3291109999999999</v>
      </c>
      <c r="H66" s="34">
        <f t="shared" si="25"/>
        <v>-0.78594859972556841</v>
      </c>
      <c r="I66" s="34">
        <f t="shared" si="25"/>
        <v>-0.41081401715051191</v>
      </c>
      <c r="J66" s="34">
        <f t="shared" si="25"/>
        <v>-0.5263813808082286</v>
      </c>
      <c r="K66" s="34">
        <f t="shared" si="25"/>
        <v>-0.71509531787449809</v>
      </c>
      <c r="L66" s="34">
        <f t="shared" si="25"/>
        <v>-0.61248800821662308</v>
      </c>
      <c r="M66" s="34">
        <f t="shared" si="25"/>
        <v>-0.50103605892867442</v>
      </c>
      <c r="N66" s="34">
        <f t="shared" si="25"/>
        <v>-0.41485654376335201</v>
      </c>
      <c r="O66" s="34">
        <f t="shared" si="25"/>
        <v>-0.33555224148481932</v>
      </c>
      <c r="P66" s="34">
        <f t="shared" si="25"/>
        <v>-0.22493706121588897</v>
      </c>
      <c r="Q66" s="34">
        <f t="shared" si="25"/>
        <v>-0.12184584230942908</v>
      </c>
      <c r="R66" s="34">
        <f t="shared" si="25"/>
        <v>-2.4676724438884801E-2</v>
      </c>
      <c r="S66" s="34">
        <f t="shared" si="25"/>
        <v>-2.5866535328215257E-2</v>
      </c>
      <c r="T66" s="34">
        <f t="shared" si="25"/>
        <v>-1.9106660718630764E-3</v>
      </c>
      <c r="U66" s="34">
        <f t="shared" ref="U66:W66" si="26">SUM(U67:U70)</f>
        <v>-6.4923242036085682E-3</v>
      </c>
      <c r="V66" s="34">
        <f t="shared" si="26"/>
        <v>-1.104029239399984E-2</v>
      </c>
      <c r="W66" s="34">
        <f t="shared" si="26"/>
        <v>2.9244709641640831E-2</v>
      </c>
    </row>
    <row r="67" spans="2:23" outlineLevel="1" x14ac:dyDescent="0.2">
      <c r="B67" s="64" t="s">
        <v>87</v>
      </c>
      <c r="C67" s="23"/>
      <c r="D67" s="23">
        <f t="shared" ref="D67:W67" si="27">C56*D35/100*(1/(1+D32/100))</f>
        <v>1.3603259114140902</v>
      </c>
      <c r="E67" s="23">
        <f t="shared" si="27"/>
        <v>1.6914749590209448</v>
      </c>
      <c r="F67" s="23">
        <f t="shared" si="27"/>
        <v>1.6292561590832533</v>
      </c>
      <c r="G67" s="23">
        <f>F56*G35/100*(1/(1+G32/100))</f>
        <v>1.5955209447890555</v>
      </c>
      <c r="H67" s="23">
        <f>G56*H35/100*(1/(1+H32/100))</f>
        <v>1.6591869069713974</v>
      </c>
      <c r="I67" s="23">
        <f t="shared" si="27"/>
        <v>1.7437341125642176</v>
      </c>
      <c r="J67" s="23">
        <f t="shared" si="27"/>
        <v>1.8405039343235188</v>
      </c>
      <c r="K67" s="23">
        <f t="shared" si="27"/>
        <v>1.9412430645146803</v>
      </c>
      <c r="L67" s="23">
        <f t="shared" si="27"/>
        <v>2.0479391483399065</v>
      </c>
      <c r="M67" s="23">
        <f t="shared" si="27"/>
        <v>2.1607621866775872</v>
      </c>
      <c r="N67" s="23">
        <f t="shared" si="27"/>
        <v>2.2789309114663681</v>
      </c>
      <c r="O67" s="23">
        <f t="shared" si="27"/>
        <v>2.4015966701903921</v>
      </c>
      <c r="P67" s="23">
        <f t="shared" si="27"/>
        <v>2.5154643672729464</v>
      </c>
      <c r="Q67" s="23">
        <f t="shared" si="27"/>
        <v>2.6222543975780797</v>
      </c>
      <c r="R67" s="23">
        <f t="shared" si="27"/>
        <v>2.7236608067160435</v>
      </c>
      <c r="S67" s="23">
        <f t="shared" si="27"/>
        <v>2.8169073020232802</v>
      </c>
      <c r="T67" s="23">
        <f t="shared" si="27"/>
        <v>2.9027328227804023</v>
      </c>
      <c r="U67" s="23">
        <f t="shared" si="27"/>
        <v>2.980526922499354</v>
      </c>
      <c r="V67" s="23">
        <f t="shared" si="27"/>
        <v>3.0505387713040575</v>
      </c>
      <c r="W67" s="23">
        <f t="shared" si="27"/>
        <v>3.1150959774193967</v>
      </c>
    </row>
    <row r="68" spans="2:23" outlineLevel="1" x14ac:dyDescent="0.2">
      <c r="B68" s="64" t="s">
        <v>88</v>
      </c>
      <c r="C68" s="23"/>
      <c r="D68" s="23">
        <f t="shared" ref="D68:W68" si="28">-C56*(D23/100)*(1/(1+D32/100))</f>
        <v>-4.6896142044055606</v>
      </c>
      <c r="E68" s="23">
        <f t="shared" si="28"/>
        <v>-1.8550670815209325</v>
      </c>
      <c r="F68" s="23">
        <f t="shared" si="28"/>
        <v>-1.9069134131170997</v>
      </c>
      <c r="G68" s="23">
        <f t="shared" si="28"/>
        <v>-1.6766287254985175</v>
      </c>
      <c r="H68" s="23">
        <f t="shared" si="28"/>
        <v>-1.1673259270238938</v>
      </c>
      <c r="I68" s="23">
        <f t="shared" si="28"/>
        <v>-0.83627161203960476</v>
      </c>
      <c r="J68" s="23">
        <f t="shared" si="28"/>
        <v>-0.99129585253635122</v>
      </c>
      <c r="K68" s="23">
        <f t="shared" si="28"/>
        <v>-1.2206902328045943</v>
      </c>
      <c r="L68" s="23">
        <f t="shared" si="28"/>
        <v>-1.1680309661893127</v>
      </c>
      <c r="M68" s="23">
        <f t="shared" si="28"/>
        <v>-1.1094959658684644</v>
      </c>
      <c r="N68" s="23">
        <f t="shared" si="28"/>
        <v>-1.0781773361090221</v>
      </c>
      <c r="O68" s="23">
        <f t="shared" si="28"/>
        <v>-1.0557950119428583</v>
      </c>
      <c r="P68" s="23">
        <f t="shared" si="28"/>
        <v>-1.0420228498021438</v>
      </c>
      <c r="Q68" s="23">
        <f t="shared" si="28"/>
        <v>-1.0277490469778705</v>
      </c>
      <c r="R68" s="23">
        <f t="shared" si="28"/>
        <v>-1.012950760399435</v>
      </c>
      <c r="S68" s="23">
        <f t="shared" si="28"/>
        <v>-1.0875672146354816</v>
      </c>
      <c r="T68" s="23">
        <f t="shared" si="28"/>
        <v>-1.1318374718085686</v>
      </c>
      <c r="U68" s="23">
        <f t="shared" si="28"/>
        <v>-1.198369706292864</v>
      </c>
      <c r="V68" s="23">
        <f t="shared" si="28"/>
        <v>-1.2597120577927901</v>
      </c>
      <c r="W68" s="23">
        <f t="shared" si="28"/>
        <v>-1.2733425034890136</v>
      </c>
    </row>
    <row r="69" spans="2:23" outlineLevel="1" x14ac:dyDescent="0.2">
      <c r="B69" s="64" t="s">
        <v>89</v>
      </c>
      <c r="C69" s="23"/>
      <c r="D69" s="23">
        <f>-C56*D41/100*(1/(1+D41/100))</f>
        <v>-6.109357393135542</v>
      </c>
      <c r="E69" s="23">
        <f t="shared" ref="E69:T69" si="29">-D56*E41/100*(1/(1+E41/100))</f>
        <v>-5.3233348222517805</v>
      </c>
      <c r="F69" s="23">
        <f>-E56*F41/100*(1/(1+F41/100))</f>
        <v>-3.3016517046855496</v>
      </c>
      <c r="G69" s="23">
        <f>-F56*G41/100*(1/(1+G41/100))</f>
        <v>-1.2537493739329504</v>
      </c>
      <c r="H69" s="23">
        <f t="shared" si="29"/>
        <v>-1.277809579673072</v>
      </c>
      <c r="I69" s="23">
        <f t="shared" si="29"/>
        <v>-1.3182765176751248</v>
      </c>
      <c r="J69" s="23">
        <f t="shared" si="29"/>
        <v>-1.3755894625953962</v>
      </c>
      <c r="K69" s="23">
        <f t="shared" si="29"/>
        <v>-1.4356481495845841</v>
      </c>
      <c r="L69" s="23">
        <f t="shared" si="29"/>
        <v>-1.4923961903672169</v>
      </c>
      <c r="M69" s="23">
        <f t="shared" si="29"/>
        <v>-1.5523022797377972</v>
      </c>
      <c r="N69" s="23">
        <f t="shared" si="29"/>
        <v>-1.615610119120698</v>
      </c>
      <c r="O69" s="23">
        <f t="shared" si="29"/>
        <v>-1.6813538997323532</v>
      </c>
      <c r="P69" s="23">
        <f t="shared" si="29"/>
        <v>-1.6983785786866916</v>
      </c>
      <c r="Q69" s="23">
        <f t="shared" si="29"/>
        <v>-1.7163511929096382</v>
      </c>
      <c r="R69" s="23">
        <f t="shared" si="29"/>
        <v>-1.7353867707554933</v>
      </c>
      <c r="S69" s="23">
        <f t="shared" si="29"/>
        <v>-1.7552066227160139</v>
      </c>
      <c r="T69" s="23">
        <f t="shared" si="29"/>
        <v>-1.7728060170436968</v>
      </c>
      <c r="U69" s="23">
        <f t="shared" ref="U69" si="30">-T56*U41/100*(1/(1+U41/100))</f>
        <v>-1.7886495404100986</v>
      </c>
      <c r="V69" s="23">
        <f t="shared" ref="V69" si="31">-U56*V41/100*(1/(1+V41/100))</f>
        <v>-1.8018670059052673</v>
      </c>
      <c r="W69" s="23">
        <f t="shared" ref="W69" si="32">-V56*W41/100*(1/(1+W41/100))</f>
        <v>-1.8125087642887423</v>
      </c>
    </row>
    <row r="70" spans="2:23" outlineLevel="1" x14ac:dyDescent="0.2">
      <c r="B70" s="64" t="s">
        <v>90</v>
      </c>
      <c r="C70" s="35"/>
      <c r="D70" s="35">
        <v>0.12665968612701306</v>
      </c>
      <c r="E70" s="35">
        <v>-3.3958055248231922E-2</v>
      </c>
      <c r="F70" s="35">
        <v>1.088995871939602E-2</v>
      </c>
      <c r="G70" s="35">
        <v>5.7461546424124599E-3</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5" t="s">
        <v>91</v>
      </c>
      <c r="C71" s="36"/>
      <c r="D71" s="36">
        <f>'Input data'!D16</f>
        <v>1.052092</v>
      </c>
      <c r="E71" s="36">
        <f>'Input data'!E16</f>
        <v>1.7555499999999999</v>
      </c>
      <c r="F71" s="36">
        <f>'Input data'!F16</f>
        <v>-0.91088740000000001</v>
      </c>
      <c r="G71" s="36">
        <f>'Input data'!G16</f>
        <v>3.8232000000000001E-3</v>
      </c>
      <c r="H71" s="36">
        <f>'Input data'!H16</f>
        <v>0</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4" t="s">
        <v>92</v>
      </c>
      <c r="C72" s="23"/>
      <c r="D72" s="23">
        <f t="shared" ref="D72:W72" si="33">D14</f>
        <v>-5.1615739999999999</v>
      </c>
      <c r="E72" s="23">
        <f t="shared" si="33"/>
        <v>2.9723419999999998</v>
      </c>
      <c r="F72" s="23">
        <f t="shared" si="33"/>
        <v>-1.2972429999999999</v>
      </c>
      <c r="G72" s="23">
        <f t="shared" si="33"/>
        <v>-0.2</v>
      </c>
      <c r="H72" s="23">
        <f>H14</f>
        <v>0</v>
      </c>
      <c r="I72" s="23">
        <f t="shared" si="33"/>
        <v>0</v>
      </c>
      <c r="J72" s="23">
        <f t="shared" si="33"/>
        <v>0</v>
      </c>
      <c r="K72" s="23">
        <f t="shared" si="33"/>
        <v>0</v>
      </c>
      <c r="L72" s="23">
        <f t="shared" si="33"/>
        <v>0</v>
      </c>
      <c r="M72" s="23">
        <f t="shared" si="33"/>
        <v>0</v>
      </c>
      <c r="N72" s="23">
        <f t="shared" si="33"/>
        <v>0</v>
      </c>
      <c r="O72" s="23">
        <f t="shared" si="33"/>
        <v>0</v>
      </c>
      <c r="P72" s="23">
        <f t="shared" si="33"/>
        <v>0</v>
      </c>
      <c r="Q72" s="23">
        <f t="shared" si="33"/>
        <v>0</v>
      </c>
      <c r="R72" s="23">
        <f t="shared" si="33"/>
        <v>0</v>
      </c>
      <c r="S72" s="23">
        <f t="shared" si="33"/>
        <v>0</v>
      </c>
      <c r="T72" s="23">
        <f t="shared" si="33"/>
        <v>0</v>
      </c>
      <c r="U72" s="23">
        <f t="shared" si="33"/>
        <v>0</v>
      </c>
      <c r="V72" s="23">
        <f t="shared" si="33"/>
        <v>0</v>
      </c>
      <c r="W72" s="23">
        <f t="shared" si="33"/>
        <v>0</v>
      </c>
    </row>
    <row r="73" spans="2:23" outlineLevel="1" x14ac:dyDescent="0.2">
      <c r="B73" s="70" t="s">
        <v>93</v>
      </c>
      <c r="C73" s="35"/>
      <c r="D73" s="35">
        <f>+D71-D72</f>
        <v>6.2136659999999999</v>
      </c>
      <c r="E73" s="35">
        <f t="shared" ref="E73:T73" si="34">+E71-E72</f>
        <v>-1.2167919999999999</v>
      </c>
      <c r="F73" s="35">
        <f>+F71-F72</f>
        <v>0.38635559999999991</v>
      </c>
      <c r="G73" s="35">
        <f t="shared" si="34"/>
        <v>0.20382320000000001</v>
      </c>
      <c r="H73" s="35">
        <f t="shared" si="34"/>
        <v>0</v>
      </c>
      <c r="I73" s="35">
        <f t="shared" si="34"/>
        <v>0</v>
      </c>
      <c r="J73" s="35">
        <f t="shared" si="34"/>
        <v>0</v>
      </c>
      <c r="K73" s="35">
        <f t="shared" si="34"/>
        <v>0</v>
      </c>
      <c r="L73" s="35">
        <f t="shared" si="34"/>
        <v>0</v>
      </c>
      <c r="M73" s="35">
        <f t="shared" si="34"/>
        <v>0</v>
      </c>
      <c r="N73" s="35">
        <f t="shared" si="34"/>
        <v>0</v>
      </c>
      <c r="O73" s="35">
        <f t="shared" si="34"/>
        <v>0</v>
      </c>
      <c r="P73" s="35">
        <f t="shared" si="34"/>
        <v>0</v>
      </c>
      <c r="Q73" s="35">
        <f t="shared" si="34"/>
        <v>0</v>
      </c>
      <c r="R73" s="35">
        <f t="shared" si="34"/>
        <v>0</v>
      </c>
      <c r="S73" s="35">
        <f t="shared" si="34"/>
        <v>0</v>
      </c>
      <c r="T73" s="35">
        <f t="shared" si="34"/>
        <v>0</v>
      </c>
      <c r="U73" s="35">
        <f t="shared" ref="U73:W73" si="35">+U71-U72</f>
        <v>0</v>
      </c>
      <c r="V73" s="35">
        <f t="shared" si="35"/>
        <v>0</v>
      </c>
      <c r="W73" s="35">
        <f t="shared" si="35"/>
        <v>0</v>
      </c>
    </row>
    <row r="74" spans="2:23" outlineLevel="1" x14ac:dyDescent="0.2">
      <c r="B74" s="64"/>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1" t="s">
        <v>94</v>
      </c>
    </row>
    <row r="76" spans="2:23" x14ac:dyDescent="0.2">
      <c r="B76" s="62" t="s">
        <v>19</v>
      </c>
      <c r="C76" s="62"/>
      <c r="D76" s="63">
        <f>D58-D67</f>
        <v>0.12943162840271571</v>
      </c>
      <c r="E76" s="63">
        <f t="shared" ref="E76:T76" si="36">E58-E67</f>
        <v>-0.69110970262048821</v>
      </c>
      <c r="F76" s="63">
        <f t="shared" si="36"/>
        <v>-2.6152547775931434</v>
      </c>
      <c r="G76" s="63">
        <f t="shared" si="36"/>
        <v>-2.7194880378950583</v>
      </c>
      <c r="H76" s="63">
        <f t="shared" si="36"/>
        <v>-2.9990017025178011</v>
      </c>
      <c r="I76" s="63">
        <f t="shared" si="36"/>
        <v>-3.4351590057246328</v>
      </c>
      <c r="J76" s="63">
        <f t="shared" si="36"/>
        <v>-3.71520893991545</v>
      </c>
      <c r="K76" s="63">
        <f t="shared" si="36"/>
        <v>-3.8099870359613357</v>
      </c>
      <c r="L76" s="63">
        <f t="shared" si="36"/>
        <v>-3.9015241584935074</v>
      </c>
      <c r="M76" s="63">
        <f t="shared" si="36"/>
        <v>-3.9952973673136936</v>
      </c>
      <c r="N76" s="63">
        <f t="shared" si="36"/>
        <v>-4.0756332140600202</v>
      </c>
      <c r="O76" s="63">
        <f t="shared" si="36"/>
        <v>-4.1479070650647785</v>
      </c>
      <c r="P76" s="63">
        <f t="shared" si="36"/>
        <v>-4.2208244982912042</v>
      </c>
      <c r="Q76" s="63">
        <f t="shared" si="36"/>
        <v>-4.3012625194516554</v>
      </c>
      <c r="R76" s="63">
        <f t="shared" si="36"/>
        <v>-4.3730973553505663</v>
      </c>
      <c r="S76" s="63">
        <f t="shared" si="36"/>
        <v>-4.4098628143554306</v>
      </c>
      <c r="T76" s="63">
        <f t="shared" si="36"/>
        <v>-4.432087635112552</v>
      </c>
      <c r="U76" s="63">
        <f t="shared" ref="U76:W76" si="37">U58-U67</f>
        <v>-4.4357110348314945</v>
      </c>
      <c r="V76" s="63">
        <f t="shared" si="37"/>
        <v>-4.4310343621292958</v>
      </c>
      <c r="W76" s="63">
        <f t="shared" si="37"/>
        <v>-4.4260808682446342</v>
      </c>
    </row>
    <row r="77" spans="2:23" x14ac:dyDescent="0.2">
      <c r="B77" s="15" t="s">
        <v>20</v>
      </c>
      <c r="D77" s="23">
        <f>D59-D67-D63-D64-D65</f>
        <v>-1.1601272114140901</v>
      </c>
      <c r="E77" s="23">
        <f>E59-E67-E63-E64-E65</f>
        <v>-1.8104429590209448</v>
      </c>
      <c r="F77" s="23">
        <f t="shared" ref="F77:W77" si="38">F59-F67-F63-F64-F65</f>
        <v>-3.5904011590832532</v>
      </c>
      <c r="G77" s="23">
        <f t="shared" si="38"/>
        <v>-3.5720151447890602</v>
      </c>
      <c r="H77" s="23">
        <f t="shared" si="38"/>
        <v>-3.5673504069713955</v>
      </c>
      <c r="I77" s="23">
        <f t="shared" si="38"/>
        <v>-3.6246069125642184</v>
      </c>
      <c r="J77" s="23">
        <f t="shared" si="38"/>
        <v>-3.715206034323522</v>
      </c>
      <c r="K77" s="23">
        <f t="shared" si="38"/>
        <v>-3.8099845645146813</v>
      </c>
      <c r="L77" s="23">
        <f t="shared" si="38"/>
        <v>-3.9015199483399057</v>
      </c>
      <c r="M77" s="23">
        <f t="shared" si="38"/>
        <v>-3.9952922866775866</v>
      </c>
      <c r="N77" s="23">
        <f t="shared" si="38"/>
        <v>-4.0756303114663641</v>
      </c>
      <c r="O77" s="23">
        <f t="shared" si="38"/>
        <v>-4.1479054701903948</v>
      </c>
      <c r="P77" s="23">
        <f t="shared" si="38"/>
        <v>-4.2208224672729466</v>
      </c>
      <c r="Q77" s="23">
        <f t="shared" si="38"/>
        <v>-4.3012617975780794</v>
      </c>
      <c r="R77" s="23">
        <f t="shared" si="38"/>
        <v>-4.3730975067160429</v>
      </c>
      <c r="S77" s="23">
        <f t="shared" si="38"/>
        <v>-4.4098634020232783</v>
      </c>
      <c r="T77" s="23">
        <f t="shared" si="38"/>
        <v>-4.4320882227804006</v>
      </c>
      <c r="U77" s="23">
        <f t="shared" si="38"/>
        <v>-4.4357116224993529</v>
      </c>
      <c r="V77" s="23">
        <f t="shared" si="38"/>
        <v>-4.4310327713040563</v>
      </c>
      <c r="W77" s="23">
        <f t="shared" si="38"/>
        <v>-4.4260792774193938</v>
      </c>
    </row>
    <row r="78" spans="2:23" x14ac:dyDescent="0.2">
      <c r="B78" s="24" t="s">
        <v>95</v>
      </c>
      <c r="C78" s="24"/>
      <c r="D78" s="239">
        <f>'Input data'!D45</f>
        <v>13.332508026209865</v>
      </c>
      <c r="E78" s="239">
        <f>'Input data'!E45</f>
        <v>17.321552756469458</v>
      </c>
      <c r="F78" s="239">
        <f>'Input data'!F45</f>
        <v>14.354198279852639</v>
      </c>
      <c r="G78" s="35">
        <f>'Input data'!G33+G41-(G$12-F$12)/'Input data'!$C$64*100</f>
        <v>5.3936890000000002</v>
      </c>
      <c r="H78" s="35">
        <f>'Input data'!H33+H41-(H$12-G$12)/'Input data'!$C$64*100</f>
        <v>4.90003425</v>
      </c>
      <c r="I78" s="35">
        <f>'Input data'!I33+I41-(I$12-H$12)/'Input data'!$C$64*100</f>
        <v>4.5639384999999999</v>
      </c>
      <c r="J78" s="35">
        <f>'Input data'!J33+J41-(J$12-I$12)/'Input data'!$C$64*100</f>
        <v>4.421964749999999</v>
      </c>
      <c r="K78" s="35">
        <f>'Input data'!K33+K41-(K$12-J$12)/'Input data'!$C$64*100</f>
        <v>4.390352</v>
      </c>
      <c r="L78" s="35">
        <f>'Input data'!L33+L41-(L$12-K$12)/'Input data'!$C$64*100</f>
        <v>4.3153982500000003</v>
      </c>
      <c r="M78" s="35">
        <f>'Input data'!M33+M41-(M$12-L$12)/'Input data'!$C$64*100</f>
        <v>4.2330125000000001</v>
      </c>
      <c r="N78" s="35">
        <f>'Input data'!N33+N41-(N$12-M$12)/'Input data'!$C$64*100</f>
        <v>4.1970077499999991</v>
      </c>
      <c r="O78" s="35">
        <f>'Input data'!O33+O41-(O$12-N$12)/'Input data'!$C$64*100</f>
        <v>4.1773100000000003</v>
      </c>
      <c r="P78" s="35">
        <f>'Input data'!P33+P41-(P$12-O$12)/'Input data'!$C$64*100</f>
        <v>4.0944839999999996</v>
      </c>
      <c r="Q78" s="35">
        <f>'Input data'!Q33+Q41-(Q$12-P$12)/'Input data'!$C$64*100</f>
        <v>4.0116589999999999</v>
      </c>
      <c r="R78" s="35">
        <f>'Input data'!R33+R41-(R$12-Q$12)/'Input data'!$C$64*100</f>
        <v>3.928833</v>
      </c>
      <c r="S78" s="35">
        <f>'Input data'!S33+S41-(S$12-R$12)/'Input data'!$C$64*100</f>
        <v>3.9750889999999997</v>
      </c>
      <c r="T78" s="35">
        <f>'Input data'!T33+T41-(T$12-S$12)/'Input data'!$C$64*100</f>
        <v>3.9768409999999994</v>
      </c>
      <c r="U78" s="35">
        <f>'Input data'!U33+U41-(U$12-T$12)/'Input data'!$C$64*100</f>
        <v>4.008864</v>
      </c>
      <c r="V78" s="35">
        <f>'Input data'!V33+V41-(V$12-U$12)/'Input data'!$C$64*100</f>
        <v>4.0332879999999998</v>
      </c>
      <c r="W78" s="35">
        <f>'Input data'!W33+W41-(W$12-V$12)/'Input data'!$C$64*100</f>
        <v>3.9941360000000001</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2" customFormat="1" ht="12.75" outlineLevel="1" x14ac:dyDescent="0.2">
      <c r="B81" s="73" t="s">
        <v>96</v>
      </c>
      <c r="C81" s="74"/>
      <c r="E81" s="75"/>
      <c r="F81" s="74"/>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97</v>
      </c>
      <c r="D83" s="18">
        <f t="shared" ref="D83:W83" si="39">IF((D87-C87*D42/((1+D23/100)*(1+D41/100)))&gt;0,1,0)</f>
        <v>0</v>
      </c>
      <c r="E83" s="18">
        <f t="shared" si="39"/>
        <v>1</v>
      </c>
      <c r="F83" s="18">
        <f t="shared" si="39"/>
        <v>1</v>
      </c>
      <c r="G83" s="18">
        <f t="shared" si="39"/>
        <v>1</v>
      </c>
      <c r="H83" s="18">
        <f t="shared" si="39"/>
        <v>1</v>
      </c>
      <c r="I83" s="18">
        <f t="shared" si="39"/>
        <v>1</v>
      </c>
      <c r="J83" s="18">
        <f t="shared" si="39"/>
        <v>1</v>
      </c>
      <c r="K83" s="18">
        <f t="shared" si="39"/>
        <v>1</v>
      </c>
      <c r="L83" s="18">
        <f t="shared" si="39"/>
        <v>1</v>
      </c>
      <c r="M83" s="18">
        <f t="shared" si="39"/>
        <v>1</v>
      </c>
      <c r="N83" s="18">
        <f t="shared" si="39"/>
        <v>1</v>
      </c>
      <c r="O83" s="18">
        <f t="shared" si="39"/>
        <v>1</v>
      </c>
      <c r="P83" s="18">
        <f t="shared" si="39"/>
        <v>1</v>
      </c>
      <c r="Q83" s="18">
        <f t="shared" si="39"/>
        <v>1</v>
      </c>
      <c r="R83" s="18">
        <f t="shared" si="39"/>
        <v>1</v>
      </c>
      <c r="S83" s="18">
        <f t="shared" si="39"/>
        <v>1</v>
      </c>
      <c r="T83" s="18">
        <f t="shared" si="39"/>
        <v>1</v>
      </c>
      <c r="U83" s="18">
        <f t="shared" si="39"/>
        <v>1</v>
      </c>
      <c r="V83" s="18">
        <f t="shared" si="39"/>
        <v>1</v>
      </c>
      <c r="W83" s="18">
        <f t="shared" si="39"/>
        <v>1</v>
      </c>
    </row>
    <row r="84" spans="2:23" x14ac:dyDescent="0.2">
      <c r="B84" s="15" t="s">
        <v>98</v>
      </c>
      <c r="D84" s="18">
        <f t="shared" ref="D84:W84" si="40">IF(AND(D83=0,ABS(D87-C87*D42/((1+D23/100)*(1+D41/100)))&lt;((C93*C87*D42/((1+D23/100)*(1+D41/100))+(D38*C87*C94*D42/((1+D23/100)*(1+D41/100)))))),1,0)</f>
        <v>0</v>
      </c>
      <c r="E84" s="18">
        <f t="shared" si="40"/>
        <v>0</v>
      </c>
      <c r="F84" s="18">
        <f t="shared" si="40"/>
        <v>0</v>
      </c>
      <c r="G84" s="18">
        <f t="shared" si="40"/>
        <v>0</v>
      </c>
      <c r="H84" s="18">
        <f t="shared" si="40"/>
        <v>0</v>
      </c>
      <c r="I84" s="18">
        <f t="shared" si="40"/>
        <v>0</v>
      </c>
      <c r="J84" s="18">
        <f t="shared" si="40"/>
        <v>0</v>
      </c>
      <c r="K84" s="18">
        <f t="shared" si="40"/>
        <v>0</v>
      </c>
      <c r="L84" s="18">
        <f t="shared" si="40"/>
        <v>0</v>
      </c>
      <c r="M84" s="18">
        <f t="shared" si="40"/>
        <v>0</v>
      </c>
      <c r="N84" s="18">
        <f t="shared" si="40"/>
        <v>0</v>
      </c>
      <c r="O84" s="18">
        <f t="shared" si="40"/>
        <v>0</v>
      </c>
      <c r="P84" s="18">
        <f t="shared" si="40"/>
        <v>0</v>
      </c>
      <c r="Q84" s="18">
        <f t="shared" si="40"/>
        <v>0</v>
      </c>
      <c r="R84" s="18">
        <f t="shared" si="40"/>
        <v>0</v>
      </c>
      <c r="S84" s="18">
        <f t="shared" si="40"/>
        <v>0</v>
      </c>
      <c r="T84" s="18">
        <f t="shared" si="40"/>
        <v>0</v>
      </c>
      <c r="U84" s="18">
        <f t="shared" si="40"/>
        <v>0</v>
      </c>
      <c r="V84" s="18">
        <f t="shared" si="40"/>
        <v>0</v>
      </c>
      <c r="W84" s="18">
        <f t="shared" si="40"/>
        <v>0</v>
      </c>
    </row>
    <row r="86" spans="2:23" x14ac:dyDescent="0.2">
      <c r="B86" s="37"/>
      <c r="C86" s="67">
        <v>2021</v>
      </c>
      <c r="D86" s="67">
        <v>2022</v>
      </c>
      <c r="E86" s="67">
        <v>2023</v>
      </c>
      <c r="F86" s="67">
        <v>2024</v>
      </c>
      <c r="G86" s="67">
        <v>2025</v>
      </c>
      <c r="H86" s="67">
        <v>2026</v>
      </c>
      <c r="I86" s="67">
        <v>2027</v>
      </c>
      <c r="J86" s="67">
        <v>2028</v>
      </c>
      <c r="K86" s="67">
        <v>2029</v>
      </c>
      <c r="L86" s="67">
        <v>2030</v>
      </c>
      <c r="M86" s="67">
        <v>2031</v>
      </c>
      <c r="N86" s="67">
        <v>2032</v>
      </c>
      <c r="O86" s="67">
        <v>2033</v>
      </c>
      <c r="P86" s="67">
        <v>2034</v>
      </c>
      <c r="Q86" s="67">
        <v>2035</v>
      </c>
      <c r="R86" s="67">
        <v>2036</v>
      </c>
      <c r="S86" s="67">
        <v>2037</v>
      </c>
      <c r="T86" s="67">
        <v>2038</v>
      </c>
      <c r="U86" s="67">
        <v>2039</v>
      </c>
      <c r="V86" s="67">
        <v>2040</v>
      </c>
      <c r="W86" s="67">
        <v>2041</v>
      </c>
    </row>
    <row r="87" spans="2:23" x14ac:dyDescent="0.2">
      <c r="B87" s="84" t="s">
        <v>76</v>
      </c>
      <c r="C87" s="88">
        <f>C56</f>
        <v>77.53389</v>
      </c>
      <c r="D87" s="88">
        <f>D56</f>
        <v>67.78423846018319</v>
      </c>
      <c r="E87" s="88">
        <f>E56</f>
        <v>63.018538203782732</v>
      </c>
      <c r="F87" s="88">
        <f>F56</f>
        <v>59.525230422292623</v>
      </c>
      <c r="G87" s="88">
        <f>G56</f>
        <v>59.323909715398628</v>
      </c>
      <c r="H87" s="88">
        <f t="shared" ref="H87:W87" si="41">G87*(1+H101/100)*H42-H59-H60+H61+H62+H63+H64+H65+H71</f>
        <v>59.877775911219459</v>
      </c>
      <c r="I87" s="88">
        <f t="shared" si="41"/>
        <v>61.158386787229368</v>
      </c>
      <c r="J87" s="88">
        <f t="shared" si="41"/>
        <v>62.506710412013064</v>
      </c>
      <c r="K87" s="88">
        <f t="shared" si="41"/>
        <v>63.660359065585219</v>
      </c>
      <c r="L87" s="88">
        <f t="shared" si="41"/>
        <v>64.90145606752219</v>
      </c>
      <c r="M87" s="88">
        <f t="shared" si="41"/>
        <v>66.234955189229609</v>
      </c>
      <c r="N87" s="88">
        <f t="shared" si="41"/>
        <v>67.616800948059918</v>
      </c>
      <c r="O87" s="88">
        <f t="shared" si="41"/>
        <v>69.027559101449455</v>
      </c>
      <c r="P87" s="88">
        <f t="shared" si="41"/>
        <v>70.507982171251825</v>
      </c>
      <c r="Q87" s="88">
        <f t="shared" si="41"/>
        <v>72.065144450815964</v>
      </c>
      <c r="R87" s="88">
        <f t="shared" si="41"/>
        <v>73.689904275011585</v>
      </c>
      <c r="S87" s="88">
        <f t="shared" si="41"/>
        <v>75.256993252015533</v>
      </c>
      <c r="T87" s="88">
        <f t="shared" si="41"/>
        <v>76.784437398275827</v>
      </c>
      <c r="U87" s="88">
        <f t="shared" si="41"/>
        <v>78.233129186404369</v>
      </c>
      <c r="V87" s="88">
        <f t="shared" si="41"/>
        <v>79.602584484835603</v>
      </c>
      <c r="W87" s="88">
        <f t="shared" si="41"/>
        <v>80.942814085302473</v>
      </c>
    </row>
    <row r="88" spans="2:23" x14ac:dyDescent="0.2">
      <c r="B88" s="15" t="s">
        <v>99</v>
      </c>
      <c r="C88" s="23"/>
      <c r="D88" s="181">
        <f>'Input data'!C66*$D$87</f>
        <v>61.563247683738361</v>
      </c>
      <c r="E88" s="23">
        <f t="shared" ref="E88:W88" si="42">IF(E87=0,0,IF(E83=1,D87*E42/((1+E23/100)*(1+E41/100))-E89-E90,IF(AND(E83=0,E84=1),(1-D93-E38*D94)*D87*E42/((1+E23/100)*(1+E41/100)),E87)))</f>
        <v>51.500562711347804</v>
      </c>
      <c r="F88" s="23">
        <f t="shared" si="42"/>
        <v>50.728502658383945</v>
      </c>
      <c r="G88" s="23">
        <f t="shared" si="42"/>
        <v>49.4369188083013</v>
      </c>
      <c r="H88" s="23">
        <f t="shared" si="42"/>
        <v>49.421722098708585</v>
      </c>
      <c r="I88" s="23">
        <f t="shared" si="42"/>
        <v>50.06612035963601</v>
      </c>
      <c r="J88" s="23">
        <f t="shared" si="42"/>
        <v>50.899861440622878</v>
      </c>
      <c r="K88" s="23">
        <f t="shared" si="42"/>
        <v>51.722218760061523</v>
      </c>
      <c r="L88" s="23">
        <f t="shared" si="42"/>
        <v>52.621238175150374</v>
      </c>
      <c r="M88" s="23">
        <f t="shared" si="42"/>
        <v>53.596135359768091</v>
      </c>
      <c r="N88" s="23">
        <f t="shared" si="42"/>
        <v>54.622141045860069</v>
      </c>
      <c r="O88" s="23">
        <f t="shared" si="42"/>
        <v>55.677809539693421</v>
      </c>
      <c r="P88" s="23">
        <f t="shared" si="42"/>
        <v>56.859979404076867</v>
      </c>
      <c r="Q88" s="23">
        <f t="shared" si="42"/>
        <v>58.102078018852971</v>
      </c>
      <c r="R88" s="23">
        <f t="shared" si="42"/>
        <v>59.409989438207326</v>
      </c>
      <c r="S88" s="23">
        <f t="shared" si="42"/>
        <v>60.699049125985162</v>
      </c>
      <c r="T88" s="23">
        <f t="shared" si="42"/>
        <v>61.967273703958256</v>
      </c>
      <c r="U88" s="23">
        <f t="shared" si="42"/>
        <v>63.184694379162231</v>
      </c>
      <c r="V88" s="23">
        <f t="shared" si="42"/>
        <v>64.342140529772891</v>
      </c>
      <c r="W88" s="23">
        <f t="shared" si="42"/>
        <v>65.475553110657955</v>
      </c>
    </row>
    <row r="89" spans="2:23" x14ac:dyDescent="0.2">
      <c r="B89" s="83" t="s">
        <v>100</v>
      </c>
      <c r="C89" s="23"/>
      <c r="D89" s="181">
        <f>'Input data'!C67*$D$87</f>
        <v>3.9125294883246755</v>
      </c>
      <c r="E89" s="23">
        <f t="shared" ref="E89:W89" si="43">IF(E87=0,0,IF(E83=1,E38*D87*D94*E42/((1+E23/100)*(1+E41/100)),IF(AND(E83=0,E84=1),(E38*D87*D94*E42/((1+E23/100)*(1+E41/100)))*(1-ABS(E87-D87*E42/((1+E23/100)*(1+E41/100)))/((E38*D87*D94*E42/((1+E23/100)*(1+E41/100)))+(D93*D87*E42/((1+E23/100)*(1+E41/100))))),0)))</f>
        <v>5.8659240545129414</v>
      </c>
      <c r="F89" s="23">
        <f t="shared" si="43"/>
        <v>5.4441538848406834</v>
      </c>
      <c r="G89" s="23">
        <f t="shared" si="43"/>
        <v>5.3717955136485909</v>
      </c>
      <c r="H89" s="23">
        <f t="shared" si="43"/>
        <v>5.4365380638280296</v>
      </c>
      <c r="I89" s="23">
        <f t="shared" si="43"/>
        <v>5.5748465230726012</v>
      </c>
      <c r="J89" s="23">
        <f t="shared" si="43"/>
        <v>5.7363953388310414</v>
      </c>
      <c r="K89" s="23">
        <f t="shared" si="43"/>
        <v>5.8990666814261745</v>
      </c>
      <c r="L89" s="23">
        <f t="shared" si="43"/>
        <v>6.0729843847921998</v>
      </c>
      <c r="M89" s="23">
        <f t="shared" si="43"/>
        <v>6.2583783798972048</v>
      </c>
      <c r="N89" s="23">
        <f t="shared" si="43"/>
        <v>6.4526424930624762</v>
      </c>
      <c r="O89" s="23">
        <f t="shared" si="43"/>
        <v>6.6534338904642718</v>
      </c>
      <c r="P89" s="23">
        <f t="shared" si="43"/>
        <v>6.7947018229673812</v>
      </c>
      <c r="Q89" s="23">
        <f t="shared" si="43"/>
        <v>6.9431311718798661</v>
      </c>
      <c r="R89" s="23">
        <f t="shared" si="43"/>
        <v>7.0994250748764207</v>
      </c>
      <c r="S89" s="23">
        <f t="shared" si="43"/>
        <v>7.2534662177374356</v>
      </c>
      <c r="T89" s="23">
        <f t="shared" si="43"/>
        <v>7.4050175890569276</v>
      </c>
      <c r="U89" s="23">
        <f t="shared" si="43"/>
        <v>7.5504979527120293</v>
      </c>
      <c r="V89" s="23">
        <f t="shared" si="43"/>
        <v>7.6888114299936747</v>
      </c>
      <c r="W89" s="23">
        <f t="shared" si="43"/>
        <v>7.8242529234698734</v>
      </c>
    </row>
    <row r="90" spans="2:23" x14ac:dyDescent="0.2">
      <c r="B90" s="83" t="s">
        <v>101</v>
      </c>
      <c r="C90" s="23"/>
      <c r="D90" s="181">
        <f>'Input data'!C68*$D$87</f>
        <v>2.3084542881192829</v>
      </c>
      <c r="E90" s="23">
        <f t="shared" ref="E90:W90" si="44">IF(E87=0,0,IF(E83=1,(1-D94)*D87*E42/((1+E23/100)*(1+E41/100)),IF(AND(E83=0,E84=1),(D93*D87*E42/((1+E23/100)*(1+E41/100)))*(1-ABS(E87-D87*E42/((1+E23/100)*(1+E41/100)))/((E38*D87*D94*E42/((1+E23/100)*(1+E41/100)))+(D93*D87*E42/((1+E23/100)*(1+E41/100))))),0)))</f>
        <v>2.0225542888393648</v>
      </c>
      <c r="F90" s="23">
        <f t="shared" si="44"/>
        <v>2.0236605928890654</v>
      </c>
      <c r="G90" s="23">
        <f t="shared" si="44"/>
        <v>1.989936064125891</v>
      </c>
      <c r="H90" s="23">
        <f t="shared" si="44"/>
        <v>2.0205140461650428</v>
      </c>
      <c r="I90" s="23">
        <f t="shared" si="44"/>
        <v>2.0822608987961102</v>
      </c>
      <c r="J90" s="23">
        <f t="shared" si="44"/>
        <v>2.1552446926436968</v>
      </c>
      <c r="K90" s="23">
        <f t="shared" si="44"/>
        <v>2.2290865881361817</v>
      </c>
      <c r="L90" s="23">
        <f t="shared" si="44"/>
        <v>2.3057093490861078</v>
      </c>
      <c r="M90" s="23">
        <f t="shared" si="44"/>
        <v>2.3851440822506391</v>
      </c>
      <c r="N90" s="23">
        <f t="shared" si="44"/>
        <v>2.4663841950773371</v>
      </c>
      <c r="O90" s="23">
        <f t="shared" si="44"/>
        <v>2.5484086062270079</v>
      </c>
      <c r="P90" s="23">
        <f t="shared" si="44"/>
        <v>2.6324764459163643</v>
      </c>
      <c r="Q90" s="23">
        <f t="shared" si="44"/>
        <v>2.7186727406314675</v>
      </c>
      <c r="R90" s="23">
        <f t="shared" si="44"/>
        <v>2.8073924065772884</v>
      </c>
      <c r="S90" s="23">
        <f t="shared" si="44"/>
        <v>2.8946150939375048</v>
      </c>
      <c r="T90" s="23">
        <f t="shared" si="44"/>
        <v>2.9800584701480974</v>
      </c>
      <c r="U90" s="23">
        <f t="shared" si="44"/>
        <v>3.0622258196986007</v>
      </c>
      <c r="V90" s="23">
        <f t="shared" si="44"/>
        <v>3.1405981629397561</v>
      </c>
      <c r="W90" s="23">
        <f t="shared" si="44"/>
        <v>3.2169271829300148</v>
      </c>
    </row>
    <row r="91" spans="2:23" x14ac:dyDescent="0.2">
      <c r="B91" s="83" t="s">
        <v>102</v>
      </c>
      <c r="C91" s="23"/>
      <c r="D91" s="181">
        <f>'Input data'!C69*$D$87</f>
        <v>0</v>
      </c>
      <c r="E91" s="23">
        <f>IF(E87=0,0,IF(E83=1,'Input data'!$C$58*(E87-D87*E42/((1+E23/100)*(1+E41/100))),0))</f>
        <v>3.4607077471142449</v>
      </c>
      <c r="F91" s="23">
        <f>IF(F87=0,0,IF(F83=1,'Input data'!$C$58*(F87-E87*F42/((1+F23/100)*(1+F41/100))),0))</f>
        <v>1.2671123066965087</v>
      </c>
      <c r="G91" s="23">
        <f>IF(G87=0,0,IF(G83=1,'Input data'!$C$58*(G87-F87*G42/((1+G23/100)*(1+G41/100))),0))</f>
        <v>2.407822396738617</v>
      </c>
      <c r="H91" s="23">
        <f>IF(H87=0,0,IF(H83=1,'Input data'!$C$58*(H87-G87*H42/((1+H23/100)*(1+H41/100))),0))</f>
        <v>2.8595334282423819</v>
      </c>
      <c r="I91" s="23">
        <f>IF(I87=0,0,IF(I83=1,'Input data'!$C$58*(I87-H87*I42/((1+I23/100)*(1+I41/100))),0))</f>
        <v>3.2754072796793254</v>
      </c>
      <c r="J91" s="23">
        <f>IF(J87=0,0,IF(J83=1,'Input data'!$C$58*(J87-I87*J42/((1+J23/100)*(1+J41/100))),0))</f>
        <v>3.5424335196855683</v>
      </c>
      <c r="K91" s="23">
        <f>IF(K87=0,0,IF(K83=1,'Input data'!$C$58*(K87-J87*K42/((1+K23/100)*(1+K41/100))),0))</f>
        <v>3.6328039698526569</v>
      </c>
      <c r="L91" s="23">
        <f>IF(L87=0,0,IF(L83=1,'Input data'!$C$58*(L87-K87*L42/((1+L23/100)*(1+L41/100))),0))</f>
        <v>3.7200841676551839</v>
      </c>
      <c r="M91" s="23">
        <f>IF(M87=0,0,IF(M83=1,'Input data'!$C$58*(M87-L87*M42/((1+M23/100)*(1+M41/100))),0))</f>
        <v>3.8094964627764898</v>
      </c>
      <c r="N91" s="23">
        <f>IF(N87=0,0,IF(N83=1,'Input data'!$C$58*(N87-M87*N42/((1+N23/100)*(1+N41/100))),0))</f>
        <v>3.8860962990034933</v>
      </c>
      <c r="O91" s="23">
        <f>IF(O87=0,0,IF(O83=1,'Input data'!$C$58*(O87-N87*O42/((1+O23/100)*(1+O41/100))),0))</f>
        <v>3.9550090617946272</v>
      </c>
      <c r="P91" s="23">
        <f>IF(P87=0,0,IF(P83=1,'Input data'!$C$58*(P87-O87*P42/((1+P23/100)*(1+P41/100))),0))</f>
        <v>4.024535477080625</v>
      </c>
      <c r="Q91" s="23">
        <f>IF(Q87=0,0,IF(Q83=1,'Input data'!$C$58*(Q87-P87*Q42/((1+Q23/100)*(1+Q41/100))),0))</f>
        <v>4.1012327361108074</v>
      </c>
      <c r="R91" s="23">
        <f>IF(R87=0,0,IF(R83=1,'Input data'!$C$58*(R87-Q87*R42/((1+R23/100)*(1+R41/100))),0))</f>
        <v>4.1697269001497101</v>
      </c>
      <c r="S91" s="23">
        <f>IF(S87=0,0,IF(S83=1,'Input data'!$C$58*(S87-R87*S42/((1+S23/100)*(1+S41/100))),0))</f>
        <v>4.2047825851601175</v>
      </c>
      <c r="T91" s="23">
        <f>IF(T87=0,0,IF(T83=1,'Input data'!$C$58*(T87-S87*T42/((1+T23/100)*(1+T41/100))),0))</f>
        <v>4.2259738428504061</v>
      </c>
      <c r="U91" s="23">
        <f>IF(U87=0,0,IF(U83=1,'Input data'!$C$58*(U87-T87*U42/((1+U23/100)*(1+U41/100))),0))</f>
        <v>4.2294287367277636</v>
      </c>
      <c r="V91" s="23">
        <f>IF(V87=0,0,IF(V83=1,'Input data'!$C$58*(V87-U87*V42/((1+V23/100)*(1+V41/100))),0))</f>
        <v>4.2249695522218955</v>
      </c>
      <c r="W91" s="23">
        <f>IF(W87=0,0,IF(W83=1,'Input data'!$C$58*(W87-V87*W42/((1+W23/100)*(1+W41/100))),0))</f>
        <v>4.2202464200749956</v>
      </c>
    </row>
    <row r="92" spans="2:23" x14ac:dyDescent="0.2">
      <c r="B92" s="85" t="s">
        <v>103</v>
      </c>
      <c r="C92" s="35"/>
      <c r="D92" s="182">
        <f>'Input data'!C70*$D$87</f>
        <v>0</v>
      </c>
      <c r="E92" s="35">
        <f>IF(E87=0,0,IF(E83=1,'Input data'!$C$57*(E87-D87*E42/((1+E23/100)*(1+E41/100))),0))</f>
        <v>0.16878940196837219</v>
      </c>
      <c r="F92" s="35">
        <f>IF(F87=0,0,IF(F83=1,'Input data'!$C$57*(F87-E87*F42/((1+F23/100)*(1+F41/100))),0))</f>
        <v>6.180097948242258E-2</v>
      </c>
      <c r="G92" s="35">
        <f>IF(G87=0,0,IF(G83=1,'Input data'!$C$57*(G87-F87*G42/((1+G23/100)*(1+G41/100))),0))</f>
        <v>0.11743693258422588</v>
      </c>
      <c r="H92" s="35">
        <f>IF(H87=0,0,IF(H83=1,'Input data'!$C$57*(H87-G87*H42/((1+H23/100)*(1+H41/100))),0))</f>
        <v>0.13946827427542013</v>
      </c>
      <c r="I92" s="35">
        <f>IF(I87=0,0,IF(I83=1,'Input data'!$C$57*(I87-H87*I42/((1+I23/100)*(1+I41/100))),0))</f>
        <v>0.15975172604532425</v>
      </c>
      <c r="J92" s="35">
        <f>IF(J87=0,0,IF(J83=1,'Input data'!$C$57*(J87-I87*J42/((1+J23/100)*(1+J41/100))),0))</f>
        <v>0.17277542022987363</v>
      </c>
      <c r="K92" s="35">
        <f>IF(K87=0,0,IF(K83=1,'Input data'!$C$57*(K87-J87*K42/((1+K23/100)*(1+K41/100))),0))</f>
        <v>0.17718306610867829</v>
      </c>
      <c r="L92" s="35">
        <f>IF(L87=0,0,IF(L83=1,'Input data'!$C$57*(L87-K87*L42/((1+L23/100)*(1+L41/100))),0))</f>
        <v>0.18143999083832477</v>
      </c>
      <c r="M92" s="35">
        <f>IF(M87=0,0,IF(M83=1,'Input data'!$C$57*(M87-L87*M42/((1+M23/100)*(1+M41/100))),0))</f>
        <v>0.18580090453718576</v>
      </c>
      <c r="N92" s="35">
        <f>IF(N87=0,0,IF(N83=1,'Input data'!$C$57*(N87-M87*N42/((1+N23/100)*(1+N41/100))),0))</f>
        <v>0.18953691505654047</v>
      </c>
      <c r="O92" s="35">
        <f>IF(O87=0,0,IF(O83=1,'Input data'!$C$57*(O87-N87*O42/((1+O23/100)*(1+O41/100))),0))</f>
        <v>0.19289800327013004</v>
      </c>
      <c r="P92" s="35">
        <f>IF(P87=0,0,IF(P83=1,'Input data'!$C$57*(P87-O87*P42/((1+P23/100)*(1+P41/100))),0))</f>
        <v>0.19628902121058281</v>
      </c>
      <c r="Q92" s="35">
        <f>IF(Q87=0,0,IF(Q83=1,'Input data'!$C$57*(Q87-P87*Q42/((1+Q23/100)*(1+Q41/100))),0))</f>
        <v>0.20002978334084726</v>
      </c>
      <c r="R92" s="35">
        <f>IF(R87=0,0,IF(R83=1,'Input data'!$C$57*(R87-Q87*R42/((1+R23/100)*(1+R41/100))),0))</f>
        <v>0.2033704552008419</v>
      </c>
      <c r="S92" s="35">
        <f>IF(S87=0,0,IF(S83=1,'Input data'!$C$57*(S87-R87*S42/((1+S23/100)*(1+S41/100))),0))</f>
        <v>0.20508022919531807</v>
      </c>
      <c r="T92" s="35">
        <f>IF(T87=0,0,IF(T83=1,'Input data'!$C$57*(T87-S87*T42/((1+T23/100)*(1+T41/100))),0))</f>
        <v>0.20611379226214574</v>
      </c>
      <c r="U92" s="35">
        <f>IF(U87=0,0,IF(U83=1,'Input data'!$C$57*(U87-T87*U42/((1+U23/100)*(1+U41/100))),0))</f>
        <v>0.20628229810373538</v>
      </c>
      <c r="V92" s="35">
        <f>IF(V87=0,0,IF(V83=1,'Input data'!$C$57*(V87-U87*V42/((1+V23/100)*(1+V41/100))),0))</f>
        <v>0.20606480990738604</v>
      </c>
      <c r="W92" s="35">
        <f>IF(W87=0,0,IF(W83=1,'Input data'!$C$57*(W87-V87*W42/((1+W23/100)*(1+W41/100))),0))</f>
        <v>0.20583444816962948</v>
      </c>
    </row>
    <row r="93" spans="2:23" x14ac:dyDescent="0.2">
      <c r="B93" s="15" t="s">
        <v>51</v>
      </c>
      <c r="C93" s="25"/>
      <c r="D93" s="25">
        <f>1-D94</f>
        <v>3.4056018634422758E-2</v>
      </c>
      <c r="E93" s="25">
        <f>IF(E87&lt;&gt;0,(E90+E92)/(E88+E89+E90+E91+E92),0)</f>
        <v>3.4773000981419153E-2</v>
      </c>
      <c r="F93" s="25">
        <f t="shared" ref="F93" si="45">IF(F87&lt;&gt;0,(F90+F92)/(F88+F89+F90+F91+F92),0)</f>
        <v>3.5034918093999813E-2</v>
      </c>
      <c r="G93" s="25">
        <f>IF(G87&lt;&gt;0,(G90+G92)/(G88+G89+G90+G91+G92),0)</f>
        <v>3.5523164383805081E-2</v>
      </c>
      <c r="H93" s="25">
        <f>IF(H87&lt;&gt;0,(H90+H92)/(H88+H89+H90+H91+H92),0)</f>
        <v>3.607318888468837E-2</v>
      </c>
      <c r="I93" s="25">
        <f t="shared" ref="I93:W93" si="46">IF(I87&lt;&gt;0,(I90+I92)/(I88+I89+I90+I91+I92),0)</f>
        <v>3.6659119748227151E-2</v>
      </c>
      <c r="J93" s="25">
        <f t="shared" si="46"/>
        <v>3.7244323009936423E-2</v>
      </c>
      <c r="K93" s="25">
        <f t="shared" si="46"/>
        <v>3.7798556111909978E-2</v>
      </c>
      <c r="L93" s="25">
        <f t="shared" si="46"/>
        <v>3.8321934369806E-2</v>
      </c>
      <c r="M93" s="25">
        <f>IF(M87&lt;&gt;0,(M90+M92)/(M88+M89+M90+M91+M92),0)</f>
        <v>3.8815531458317995E-2</v>
      </c>
      <c r="N93" s="25">
        <f t="shared" si="46"/>
        <v>3.9279011619819643E-2</v>
      </c>
      <c r="O93" s="25">
        <f t="shared" si="46"/>
        <v>3.9713219548561079E-2</v>
      </c>
      <c r="P93" s="25">
        <f t="shared" si="46"/>
        <v>4.0119790412613987E-2</v>
      </c>
      <c r="Q93" s="25">
        <f t="shared" si="46"/>
        <v>4.0500890495880605E-2</v>
      </c>
      <c r="R93" s="25">
        <f t="shared" si="46"/>
        <v>4.0857195994473385E-2</v>
      </c>
      <c r="S93" s="25">
        <f t="shared" si="46"/>
        <v>4.1188136665954389E-2</v>
      </c>
      <c r="T93" s="25">
        <f t="shared" si="46"/>
        <v>4.149502647110348E-2</v>
      </c>
      <c r="U93" s="25">
        <f t="shared" si="46"/>
        <v>4.1779079423175491E-2</v>
      </c>
      <c r="V93" s="25">
        <f t="shared" si="46"/>
        <v>4.2042139642899233E-2</v>
      </c>
      <c r="W93" s="25">
        <f t="shared" si="46"/>
        <v>4.2286170425116787E-2</v>
      </c>
    </row>
    <row r="94" spans="2:23" x14ac:dyDescent="0.2">
      <c r="B94" s="24" t="s">
        <v>52</v>
      </c>
      <c r="C94" s="86"/>
      <c r="D94" s="86">
        <f>(D88+D89+D91)/D87</f>
        <v>0.96594398136557724</v>
      </c>
      <c r="E94" s="86">
        <f t="shared" ref="E94:F94" si="47">IF(E87&lt;&gt;0,(E88+E89+E91)/(E88+E89+E90+E91+E92),1)</f>
        <v>0.96522699901858078</v>
      </c>
      <c r="F94" s="86">
        <f t="shared" si="47"/>
        <v>0.96496508190600028</v>
      </c>
      <c r="G94" s="86">
        <f>IF(G87&lt;&gt;0,(G88+G89+G91)/(G88+G89+G90+G91+G92),1)</f>
        <v>0.96447683561619491</v>
      </c>
      <c r="H94" s="86">
        <f>IF(H87&lt;&gt;0,(H88+H89+H91)/(H88+H89+H90+H91+H92),1)</f>
        <v>0.96392681111531164</v>
      </c>
      <c r="I94" s="86">
        <f t="shared" ref="I94:W94" si="48">IF(I87&lt;&gt;0,(I88+I89+I91)/(I88+I89+I90+I91+I92),1)</f>
        <v>0.96334088025177289</v>
      </c>
      <c r="J94" s="86">
        <f t="shared" si="48"/>
        <v>0.96275567699006348</v>
      </c>
      <c r="K94" s="86">
        <f t="shared" si="48"/>
        <v>0.96220144388809004</v>
      </c>
      <c r="L94" s="86">
        <f t="shared" si="48"/>
        <v>0.96167806563019409</v>
      </c>
      <c r="M94" s="86">
        <f t="shared" si="48"/>
        <v>0.96118446854168194</v>
      </c>
      <c r="N94" s="86">
        <f t="shared" si="48"/>
        <v>0.96072098838018039</v>
      </c>
      <c r="O94" s="86">
        <f t="shared" si="48"/>
        <v>0.960286780451439</v>
      </c>
      <c r="P94" s="86">
        <f t="shared" si="48"/>
        <v>0.95988020958738585</v>
      </c>
      <c r="Q94" s="86">
        <f t="shared" si="48"/>
        <v>0.95949910950411943</v>
      </c>
      <c r="R94" s="86">
        <f t="shared" si="48"/>
        <v>0.95914280400552654</v>
      </c>
      <c r="S94" s="86">
        <f t="shared" si="48"/>
        <v>0.95881186333404567</v>
      </c>
      <c r="T94" s="86">
        <f t="shared" si="48"/>
        <v>0.95850497352889663</v>
      </c>
      <c r="U94" s="86">
        <f t="shared" si="48"/>
        <v>0.95822092057682462</v>
      </c>
      <c r="V94" s="86">
        <f t="shared" si="48"/>
        <v>0.95795786035710073</v>
      </c>
      <c r="W94" s="86">
        <f t="shared" si="48"/>
        <v>0.95771382957488316</v>
      </c>
    </row>
    <row r="95" spans="2:23" x14ac:dyDescent="0.2">
      <c r="C95" s="25"/>
      <c r="D95" s="25"/>
      <c r="E95" s="180"/>
      <c r="F95" s="180"/>
      <c r="G95" s="180"/>
      <c r="H95" s="25"/>
      <c r="I95" s="25"/>
      <c r="J95" s="25"/>
      <c r="K95" s="25"/>
      <c r="L95" s="25"/>
      <c r="M95" s="25"/>
      <c r="N95" s="25"/>
      <c r="O95" s="25"/>
      <c r="P95" s="25"/>
      <c r="Q95" s="25"/>
      <c r="R95" s="25"/>
      <c r="S95" s="25"/>
      <c r="T95" s="25"/>
      <c r="U95" s="25"/>
      <c r="V95" s="25"/>
      <c r="W95" s="25"/>
    </row>
    <row r="96" spans="2:23" x14ac:dyDescent="0.2">
      <c r="B96" s="90" t="s">
        <v>104</v>
      </c>
      <c r="C96" s="92">
        <f>C35</f>
        <v>2.0416150000000002</v>
      </c>
      <c r="D96" s="92">
        <f>D35</f>
        <v>2.038402</v>
      </c>
      <c r="E96" s="92">
        <f>E98+E99</f>
        <v>2.7909440000000001</v>
      </c>
      <c r="F96" s="92">
        <f>F98+F99</f>
        <v>2.8182960000000001</v>
      </c>
      <c r="G96" s="92">
        <f>G98+G99</f>
        <v>2.8191980000000001</v>
      </c>
      <c r="H96" s="92">
        <f>H98+H99</f>
        <v>2.91705812942355</v>
      </c>
      <c r="I96" s="92">
        <f t="shared" ref="I96:W96" si="49">I98+I99</f>
        <v>3.0208534407754182</v>
      </c>
      <c r="J96" s="92">
        <f t="shared" si="49"/>
        <v>3.1305612005793386</v>
      </c>
      <c r="K96" s="92">
        <f t="shared" si="49"/>
        <v>3.2434937305883933</v>
      </c>
      <c r="L96" s="92">
        <f t="shared" si="49"/>
        <v>3.3572810399101249</v>
      </c>
      <c r="M96" s="92">
        <f t="shared" si="49"/>
        <v>3.4716806973137562</v>
      </c>
      <c r="N96" s="92">
        <f t="shared" si="49"/>
        <v>3.5865423830524708</v>
      </c>
      <c r="O96" s="92">
        <f t="shared" si="49"/>
        <v>3.7016176795207976</v>
      </c>
      <c r="P96" s="92">
        <f t="shared" si="49"/>
        <v>3.7947989559055046</v>
      </c>
      <c r="Q96" s="92">
        <f t="shared" si="49"/>
        <v>3.8696932980227854</v>
      </c>
      <c r="R96" s="92">
        <f t="shared" si="49"/>
        <v>3.9292935259882862</v>
      </c>
      <c r="S96" s="92">
        <f t="shared" si="49"/>
        <v>3.9760358459428846</v>
      </c>
      <c r="T96" s="92">
        <f t="shared" si="49"/>
        <v>4.0119399470537545</v>
      </c>
      <c r="U96" s="92">
        <f t="shared" si="49"/>
        <v>4.0387956613571951</v>
      </c>
      <c r="V96" s="92">
        <f t="shared" si="49"/>
        <v>4.0581027879889504</v>
      </c>
      <c r="W96" s="92">
        <f t="shared" si="49"/>
        <v>4.0711303873659741</v>
      </c>
    </row>
    <row r="97" spans="2:25" x14ac:dyDescent="0.2">
      <c r="B97" s="22" t="s">
        <v>105</v>
      </c>
      <c r="C97" s="1"/>
      <c r="D97" s="23"/>
      <c r="E97" s="191">
        <f>((E35*D87)-(E37*D90+D92))/(D88+D89+D91)</f>
        <v>2.7684133468233108</v>
      </c>
      <c r="F97" s="191">
        <f>((F35*E87)-(F37*E90+E92))/(E88+E89+E91)</f>
        <v>2.798539402151337</v>
      </c>
      <c r="G97" s="191">
        <f>((G35*F87)-(G37*F90+F92))/(F88+F89+F91)</f>
        <v>2.8212547807721311</v>
      </c>
      <c r="H97" s="23">
        <f t="shared" ref="H97:W97" si="50">IF(G87&gt;0,(G97*G88+H36*(G91+G89))/(G88+G89+G91),H36)</f>
        <v>2.9211821107597076</v>
      </c>
      <c r="I97" s="23">
        <f t="shared" si="50"/>
        <v>3.029350358059081</v>
      </c>
      <c r="J97" s="23">
        <f t="shared" si="50"/>
        <v>3.1438056844860838</v>
      </c>
      <c r="K97" s="23">
        <f t="shared" si="50"/>
        <v>3.2617632149835356</v>
      </c>
      <c r="L97" s="23">
        <f t="shared" si="50"/>
        <v>3.3807463642383455</v>
      </c>
      <c r="M97" s="23">
        <f t="shared" si="50"/>
        <v>3.5004923181651622</v>
      </c>
      <c r="N97" s="23">
        <f t="shared" si="50"/>
        <v>3.6208343010862194</v>
      </c>
      <c r="O97" s="23">
        <f t="shared" si="50"/>
        <v>3.7415020616908579</v>
      </c>
      <c r="P97" s="23">
        <f t="shared" si="50"/>
        <v>3.8404974314774156</v>
      </c>
      <c r="Q97" s="23">
        <f t="shared" si="50"/>
        <v>3.9205269145580117</v>
      </c>
      <c r="R97" s="23">
        <f t="shared" si="50"/>
        <v>3.9846785778981286</v>
      </c>
      <c r="S97" s="23">
        <f t="shared" si="50"/>
        <v>4.035466498458903</v>
      </c>
      <c r="T97" s="23">
        <f t="shared" si="50"/>
        <v>4.0749745622898921</v>
      </c>
      <c r="U97" s="23">
        <f t="shared" si="50"/>
        <v>4.1050545698155245</v>
      </c>
      <c r="V97" s="23">
        <f t="shared" si="50"/>
        <v>4.127259750398637</v>
      </c>
      <c r="W97" s="23">
        <f t="shared" si="50"/>
        <v>4.1429069544841486</v>
      </c>
    </row>
    <row r="98" spans="2:25" x14ac:dyDescent="0.2">
      <c r="B98" s="15" t="s">
        <v>106</v>
      </c>
      <c r="C98" s="23"/>
      <c r="D98" s="23"/>
      <c r="E98" s="191">
        <f>E35</f>
        <v>2.7909440000000001</v>
      </c>
      <c r="F98" s="191">
        <f>F35</f>
        <v>2.8182960000000001</v>
      </c>
      <c r="G98" s="191">
        <f>G35</f>
        <v>2.8191980000000001</v>
      </c>
      <c r="H98" s="23">
        <f t="shared" ref="H98:W98" si="51">(H97*(G88+G89+G91)+H37*(G90+G92))/G87</f>
        <v>2.91705812942355</v>
      </c>
      <c r="I98" s="23">
        <f t="shared" si="51"/>
        <v>3.0208534407754182</v>
      </c>
      <c r="J98" s="23">
        <f t="shared" si="51"/>
        <v>3.1305612005793386</v>
      </c>
      <c r="K98" s="23">
        <f t="shared" si="51"/>
        <v>3.2434937305883933</v>
      </c>
      <c r="L98" s="23">
        <f t="shared" si="51"/>
        <v>3.3572810399101249</v>
      </c>
      <c r="M98" s="23">
        <f t="shared" si="51"/>
        <v>3.4716806973137562</v>
      </c>
      <c r="N98" s="23">
        <f t="shared" si="51"/>
        <v>3.5865423830524708</v>
      </c>
      <c r="O98" s="23">
        <f t="shared" si="51"/>
        <v>3.7016176795207976</v>
      </c>
      <c r="P98" s="23">
        <f t="shared" si="51"/>
        <v>3.7947989559055046</v>
      </c>
      <c r="Q98" s="23">
        <f t="shared" si="51"/>
        <v>3.8696932980227854</v>
      </c>
      <c r="R98" s="23">
        <f t="shared" si="51"/>
        <v>3.9292935259882862</v>
      </c>
      <c r="S98" s="23">
        <f t="shared" si="51"/>
        <v>3.9760358459428846</v>
      </c>
      <c r="T98" s="23">
        <f t="shared" si="51"/>
        <v>4.0119399470537545</v>
      </c>
      <c r="U98" s="23">
        <f t="shared" si="51"/>
        <v>4.0387956613571951</v>
      </c>
      <c r="V98" s="23">
        <f t="shared" si="51"/>
        <v>4.0581027879889504</v>
      </c>
      <c r="W98" s="23">
        <f t="shared" si="51"/>
        <v>4.0711303873659741</v>
      </c>
    </row>
    <row r="99" spans="2:25" x14ac:dyDescent="0.2">
      <c r="B99" s="24" t="s">
        <v>107</v>
      </c>
      <c r="C99" s="91"/>
      <c r="D99" s="35"/>
      <c r="E99" s="35">
        <f t="shared" ref="E99:G99" si="52">E108</f>
        <v>0</v>
      </c>
      <c r="F99" s="35">
        <f t="shared" si="52"/>
        <v>0</v>
      </c>
      <c r="G99" s="35">
        <f t="shared" si="52"/>
        <v>0</v>
      </c>
      <c r="H99" s="35">
        <f>H108</f>
        <v>0</v>
      </c>
      <c r="I99" s="35">
        <f t="shared" ref="I99:W99" si="53">I108</f>
        <v>0</v>
      </c>
      <c r="J99" s="35">
        <f t="shared" si="53"/>
        <v>0</v>
      </c>
      <c r="K99" s="35">
        <f t="shared" si="53"/>
        <v>0</v>
      </c>
      <c r="L99" s="35">
        <f t="shared" si="53"/>
        <v>0</v>
      </c>
      <c r="M99" s="35">
        <f t="shared" si="53"/>
        <v>0</v>
      </c>
      <c r="N99" s="35">
        <f t="shared" si="53"/>
        <v>0</v>
      </c>
      <c r="O99" s="35">
        <f t="shared" si="53"/>
        <v>0</v>
      </c>
      <c r="P99" s="35">
        <f t="shared" si="53"/>
        <v>0</v>
      </c>
      <c r="Q99" s="35">
        <f t="shared" si="53"/>
        <v>0</v>
      </c>
      <c r="R99" s="35">
        <f t="shared" si="53"/>
        <v>0</v>
      </c>
      <c r="S99" s="35">
        <f t="shared" si="53"/>
        <v>0</v>
      </c>
      <c r="T99" s="35">
        <f t="shared" si="53"/>
        <v>0</v>
      </c>
      <c r="U99" s="35">
        <f t="shared" si="53"/>
        <v>0</v>
      </c>
      <c r="V99" s="35">
        <f t="shared" si="53"/>
        <v>0</v>
      </c>
      <c r="W99" s="35">
        <f t="shared" si="53"/>
        <v>0</v>
      </c>
    </row>
    <row r="100" spans="2:25" x14ac:dyDescent="0.2">
      <c r="G100" s="76"/>
      <c r="H100" s="76"/>
      <c r="I100" s="76"/>
      <c r="J100" s="76"/>
      <c r="K100" s="76"/>
      <c r="L100" s="76"/>
      <c r="M100" s="76"/>
      <c r="N100" s="76"/>
      <c r="O100" s="76"/>
      <c r="P100" s="76"/>
      <c r="Q100" s="76"/>
      <c r="R100" s="76"/>
      <c r="S100" s="76"/>
      <c r="T100" s="76"/>
      <c r="U100" s="76"/>
      <c r="V100" s="76"/>
      <c r="W100" s="76"/>
    </row>
    <row r="101" spans="2:25" x14ac:dyDescent="0.2">
      <c r="B101" s="90" t="s">
        <v>138</v>
      </c>
      <c r="C101" s="92">
        <f t="shared" ref="C101:W101" si="54">((1+C96/100)/((1+C23/100)*(1+C41/100))-1)*100</f>
        <v>-11.617016162437588</v>
      </c>
      <c r="D101" s="92">
        <f t="shared" si="54"/>
        <v>-12.173574273297783</v>
      </c>
      <c r="E101" s="92">
        <f t="shared" si="54"/>
        <v>-8.0946943852955204</v>
      </c>
      <c r="F101" s="92">
        <f t="shared" si="54"/>
        <v>-5.6797714779498687</v>
      </c>
      <c r="G101" s="92">
        <f t="shared" si="54"/>
        <v>-2.2425064887149015</v>
      </c>
      <c r="H101" s="92">
        <f t="shared" si="54"/>
        <v>-1.3248428896478481</v>
      </c>
      <c r="I101" s="92">
        <f t="shared" si="54"/>
        <v>-0.68608763585278343</v>
      </c>
      <c r="J101" s="92">
        <f t="shared" si="54"/>
        <v>-0.86068552239535467</v>
      </c>
      <c r="K101" s="92">
        <f t="shared" si="54"/>
        <v>-1.1440296780312886</v>
      </c>
      <c r="L101" s="92">
        <f t="shared" si="54"/>
        <v>-0.96211836880407686</v>
      </c>
      <c r="M101" s="92">
        <f t="shared" si="54"/>
        <v>-0.77199509731707971</v>
      </c>
      <c r="N101" s="92">
        <f t="shared" si="54"/>
        <v>-0.6263407932837417</v>
      </c>
      <c r="O101" s="92">
        <f t="shared" si="54"/>
        <v>-0.4962557186675931</v>
      </c>
      <c r="P101" s="92">
        <f t="shared" si="54"/>
        <v>-0.32586558780863806</v>
      </c>
      <c r="Q101" s="92">
        <f t="shared" si="54"/>
        <v>-0.17281141589543525</v>
      </c>
      <c r="R101" s="92">
        <f t="shared" si="54"/>
        <v>-3.424224654920982E-2</v>
      </c>
      <c r="S101" s="92">
        <f t="shared" si="54"/>
        <v>-3.5101871257259276E-2</v>
      </c>
      <c r="T101" s="92">
        <f t="shared" si="54"/>
        <v>-2.5388551804894632E-3</v>
      </c>
      <c r="U101" s="92">
        <f t="shared" si="54"/>
        <v>-8.4552604975529633E-3</v>
      </c>
      <c r="V101" s="92">
        <f t="shared" si="54"/>
        <v>-1.4112042441372097E-2</v>
      </c>
      <c r="W101" s="92">
        <f t="shared" si="54"/>
        <v>3.6738392140023279E-2</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2" customFormat="1" ht="12.75" x14ac:dyDescent="0.2">
      <c r="B104" s="14" t="s">
        <v>108</v>
      </c>
    </row>
    <row r="105" spans="2:25" s="87" customFormat="1" ht="12.75" x14ac:dyDescent="0.2">
      <c r="C105" s="81"/>
      <c r="D105" s="81"/>
      <c r="E105" s="81"/>
      <c r="F105" s="81"/>
      <c r="G105" s="81"/>
      <c r="H105" s="81"/>
      <c r="I105" s="81"/>
      <c r="J105" s="81"/>
      <c r="K105" s="81"/>
      <c r="L105" s="81"/>
      <c r="M105" s="81"/>
      <c r="N105" s="81"/>
      <c r="O105" s="81"/>
      <c r="P105" s="81"/>
      <c r="Q105" s="81"/>
      <c r="R105" s="81"/>
      <c r="S105" s="81"/>
      <c r="T105" s="81"/>
      <c r="U105" s="81"/>
      <c r="V105" s="81"/>
      <c r="W105" s="81"/>
    </row>
    <row r="106" spans="2:25" x14ac:dyDescent="0.2">
      <c r="B106" s="97" t="s">
        <v>21</v>
      </c>
      <c r="C106" s="23">
        <v>77.53389</v>
      </c>
      <c r="D106" s="23">
        <v>67.784229999999994</v>
      </c>
      <c r="E106" s="23">
        <v>63.018520000000002</v>
      </c>
      <c r="F106" s="23">
        <v>59.525210000000001</v>
      </c>
      <c r="G106" s="23">
        <v>59.323889999999999</v>
      </c>
      <c r="H106" s="23">
        <v>59.876809999999999</v>
      </c>
      <c r="I106" s="23">
        <v>61.15663</v>
      </c>
      <c r="J106" s="23">
        <v>62.504249999999999</v>
      </c>
      <c r="K106" s="23">
        <v>63.657319999999999</v>
      </c>
      <c r="L106" s="23">
        <v>64.897909999999996</v>
      </c>
      <c r="M106" s="23">
        <v>66.230980000000002</v>
      </c>
      <c r="N106" s="23">
        <v>67.612449999999995</v>
      </c>
      <c r="O106" s="23">
        <v>69.022900000000007</v>
      </c>
      <c r="P106" s="23">
        <v>70.503050000000002</v>
      </c>
      <c r="Q106" s="23">
        <v>72.059970000000007</v>
      </c>
      <c r="R106" s="23">
        <v>73.684520000000006</v>
      </c>
      <c r="S106" s="23">
        <v>75.251429999999999</v>
      </c>
      <c r="T106" s="23">
        <v>76.778700000000001</v>
      </c>
      <c r="U106" s="23">
        <v>78.227260000000001</v>
      </c>
      <c r="V106" s="23">
        <v>79.596599999999995</v>
      </c>
      <c r="W106" s="23">
        <v>80.936729999999997</v>
      </c>
    </row>
    <row r="107" spans="2:25" x14ac:dyDescent="0.2">
      <c r="B107" s="15" t="s">
        <v>104</v>
      </c>
      <c r="C107" s="23">
        <v>2.0416150000000002</v>
      </c>
      <c r="D107" s="23">
        <v>2.038402</v>
      </c>
      <c r="E107" s="23">
        <v>2.7909440000000001</v>
      </c>
      <c r="F107" s="23">
        <v>2.8182960000000001</v>
      </c>
      <c r="G107" s="23">
        <v>2.8191980000000001</v>
      </c>
      <c r="H107" s="23">
        <v>2.915429</v>
      </c>
      <c r="I107" s="23">
        <v>3.01945</v>
      </c>
      <c r="J107" s="23">
        <v>3.1293609999999998</v>
      </c>
      <c r="K107" s="23">
        <v>3.2424729999999999</v>
      </c>
      <c r="L107" s="23">
        <v>3.3564150000000001</v>
      </c>
      <c r="M107" s="23">
        <v>3.4709469999999998</v>
      </c>
      <c r="N107" s="23">
        <v>3.5859220000000001</v>
      </c>
      <c r="O107" s="23">
        <v>3.7010930000000002</v>
      </c>
      <c r="P107" s="23">
        <v>3.7943570000000002</v>
      </c>
      <c r="Q107" s="23">
        <v>3.8693219999999999</v>
      </c>
      <c r="R107" s="23">
        <v>3.9289809999999998</v>
      </c>
      <c r="S107" s="23">
        <v>3.9757729999999998</v>
      </c>
      <c r="T107" s="23">
        <v>4.0117200000000004</v>
      </c>
      <c r="U107" s="23">
        <v>4.0386100000000003</v>
      </c>
      <c r="V107" s="23">
        <v>4.0579470000000004</v>
      </c>
      <c r="W107" s="23">
        <v>4.0709989999999996</v>
      </c>
    </row>
    <row r="108" spans="2:25" x14ac:dyDescent="0.2">
      <c r="B108" s="15" t="s">
        <v>137</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5"/>
      <c r="D109" s="95"/>
      <c r="E109" s="95"/>
      <c r="F109" s="95"/>
      <c r="G109" s="95"/>
      <c r="H109" s="95"/>
      <c r="I109" s="95"/>
      <c r="J109" s="95"/>
      <c r="K109" s="95"/>
      <c r="L109" s="95"/>
      <c r="M109" s="95"/>
      <c r="N109" s="95"/>
      <c r="O109" s="95"/>
      <c r="P109" s="95"/>
      <c r="Q109" s="95"/>
      <c r="R109" s="95"/>
      <c r="S109" s="95"/>
      <c r="T109" s="95"/>
      <c r="U109" s="95"/>
      <c r="V109" s="95"/>
      <c r="W109" s="95"/>
    </row>
    <row r="110" spans="2:25" x14ac:dyDescent="0.2">
      <c r="B110" s="15" t="s">
        <v>68</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109</v>
      </c>
      <c r="C111" s="23">
        <v>3.8019160000000003E-2</v>
      </c>
      <c r="D111" s="23">
        <v>7.8597440000000005E-2</v>
      </c>
      <c r="E111" s="23">
        <v>5.9475470000000003E-2</v>
      </c>
      <c r="F111" s="23">
        <v>9.6876959999999998E-2</v>
      </c>
      <c r="G111" s="23">
        <v>0.11684023</v>
      </c>
      <c r="H111" s="23">
        <v>0.13811532000000001</v>
      </c>
      <c r="I111" s="23">
        <v>0.13659083</v>
      </c>
      <c r="J111" s="23">
        <v>0.14219135999999999</v>
      </c>
      <c r="K111" s="23">
        <v>0.1389396</v>
      </c>
      <c r="L111" s="23">
        <v>0.12512538000000001</v>
      </c>
      <c r="M111" s="23">
        <v>0.12849179999999999</v>
      </c>
      <c r="N111" s="23">
        <v>7.2085140000000006E-2</v>
      </c>
      <c r="O111" s="23">
        <v>6.8681389999999995E-2</v>
      </c>
      <c r="P111" s="23">
        <v>6.8049499999999999E-2</v>
      </c>
      <c r="Q111" s="23">
        <v>6.8080779999999994E-2</v>
      </c>
      <c r="R111" s="23">
        <v>6.7666320000000002E-2</v>
      </c>
      <c r="S111" s="23">
        <v>6.9220519999999994E-2</v>
      </c>
      <c r="T111" s="23">
        <v>6.6629789999999994E-2</v>
      </c>
      <c r="U111" s="23">
        <v>6.6434309999999996E-2</v>
      </c>
      <c r="V111" s="23">
        <v>6.6393380000000002E-2</v>
      </c>
      <c r="W111" s="23">
        <v>6.621254E-2</v>
      </c>
      <c r="X111" s="27"/>
    </row>
    <row r="112" spans="2:25" x14ac:dyDescent="0.2">
      <c r="B112" s="15" t="s">
        <v>110</v>
      </c>
      <c r="C112" s="23">
        <v>3.0337050000000001E-2</v>
      </c>
      <c r="D112" s="23">
        <v>3.594311E-2</v>
      </c>
      <c r="E112" s="23">
        <v>4.1166179999999997E-2</v>
      </c>
      <c r="F112" s="23">
        <v>1.594102E-2</v>
      </c>
      <c r="G112" s="23">
        <v>1.5850139999999999E-2</v>
      </c>
      <c r="H112" s="23">
        <v>3.7528779999999998E-2</v>
      </c>
      <c r="I112" s="23">
        <v>3.4050280000000002E-2</v>
      </c>
      <c r="J112" s="23">
        <v>4.734439E-2</v>
      </c>
      <c r="K112" s="23">
        <v>4.4075929999999999E-2</v>
      </c>
      <c r="L112" s="23">
        <v>5.08599E-2</v>
      </c>
      <c r="M112" s="23">
        <v>6.6237939999999995E-2</v>
      </c>
      <c r="N112" s="23">
        <v>6.0253769999999998E-2</v>
      </c>
      <c r="O112" s="23">
        <v>9.0030589999999994E-2</v>
      </c>
      <c r="P112" s="23">
        <v>7.2952390000000006E-2</v>
      </c>
      <c r="Q112" s="23">
        <v>7.7366660000000004E-2</v>
      </c>
      <c r="R112" s="23">
        <v>9.0839359999999994E-2</v>
      </c>
      <c r="S112" s="23">
        <v>9.9621100000000004E-2</v>
      </c>
      <c r="T112" s="23">
        <v>0.10965455</v>
      </c>
      <c r="U112" s="23">
        <v>9.8654409999999998E-2</v>
      </c>
      <c r="V112" s="23">
        <v>0.10313576000000001</v>
      </c>
      <c r="W112" s="23">
        <v>0.11073872999999999</v>
      </c>
      <c r="X112" s="23"/>
      <c r="Y112" s="76"/>
    </row>
    <row r="113" spans="2:24" x14ac:dyDescent="0.2">
      <c r="B113" s="15" t="s">
        <v>111</v>
      </c>
      <c r="C113" s="23">
        <v>1E-3</v>
      </c>
      <c r="D113" s="23">
        <v>7.5373060000000006E-2</v>
      </c>
      <c r="E113" s="23">
        <v>4.6882050000000001E-2</v>
      </c>
      <c r="F113" s="23">
        <v>5.4216720000000003E-2</v>
      </c>
      <c r="G113" s="23">
        <v>6.7343109999999998E-2</v>
      </c>
      <c r="H113" s="23">
        <v>7.3281109999999997E-2</v>
      </c>
      <c r="I113" s="23">
        <v>6.3735609999999998E-2</v>
      </c>
      <c r="J113" s="23">
        <v>7.1999019999999997E-2</v>
      </c>
      <c r="K113" s="23">
        <v>7.7920139999999999E-2</v>
      </c>
      <c r="L113" s="23">
        <v>7.3665930000000004E-2</v>
      </c>
      <c r="M113" s="23">
        <v>9.2833230000000003E-2</v>
      </c>
      <c r="N113" s="23">
        <v>9.7499160000000001E-2</v>
      </c>
      <c r="O113" s="23">
        <v>0.10431984</v>
      </c>
      <c r="P113" s="23">
        <v>7.7692949999999997E-2</v>
      </c>
      <c r="Q113" s="23">
        <v>8.1896739999999996E-2</v>
      </c>
      <c r="R113" s="23">
        <v>7.226059E-2</v>
      </c>
      <c r="S113" s="23">
        <v>7.2475159999999997E-2</v>
      </c>
      <c r="T113" s="23">
        <v>7.2704249999999998E-2</v>
      </c>
      <c r="U113" s="23">
        <v>7.292216E-2</v>
      </c>
      <c r="V113" s="23">
        <v>7.3112590000000005E-2</v>
      </c>
      <c r="W113" s="23">
        <v>7.3435849999999997E-2</v>
      </c>
      <c r="X113" s="27"/>
    </row>
    <row r="114" spans="2:24" x14ac:dyDescent="0.2">
      <c r="B114" s="15" t="s">
        <v>112</v>
      </c>
      <c r="C114" s="23">
        <v>8.3818409999999996E-2</v>
      </c>
      <c r="D114" s="23">
        <v>6.9391629999999996E-2</v>
      </c>
      <c r="E114" s="23">
        <v>4.6492409999999998E-2</v>
      </c>
      <c r="F114" s="23">
        <v>4.9193250000000001E-2</v>
      </c>
      <c r="G114" s="23">
        <v>5.6712739999999998E-2</v>
      </c>
      <c r="H114" s="23">
        <v>6.4011879999999993E-2</v>
      </c>
      <c r="I114" s="23">
        <v>6.4931299999999997E-2</v>
      </c>
      <c r="J114" s="23">
        <v>6.3912460000000004E-2</v>
      </c>
      <c r="K114" s="23">
        <v>6.1693610000000003E-2</v>
      </c>
      <c r="L114" s="23">
        <v>5.4426040000000002E-2</v>
      </c>
      <c r="M114" s="23">
        <v>8.556656E-2</v>
      </c>
      <c r="N114" s="23">
        <v>8.1653809999999993E-2</v>
      </c>
      <c r="O114" s="23">
        <v>7.5878589999999996E-2</v>
      </c>
      <c r="P114" s="23">
        <v>6.1356269999999997E-2</v>
      </c>
      <c r="Q114" s="23">
        <v>8.1797350000000005E-2</v>
      </c>
      <c r="R114" s="23">
        <v>8.4442320000000001E-2</v>
      </c>
      <c r="S114" s="23">
        <v>6.0270190000000001E-2</v>
      </c>
      <c r="T114" s="23">
        <v>7.2970759999999996E-2</v>
      </c>
      <c r="U114" s="23">
        <v>5.7315959999999999E-2</v>
      </c>
      <c r="V114" s="23">
        <v>6.0796679999999999E-2</v>
      </c>
      <c r="W114" s="23">
        <v>5.7293660000000003E-2</v>
      </c>
      <c r="X114" s="27"/>
    </row>
    <row r="115" spans="2:24" x14ac:dyDescent="0.2">
      <c r="C115" s="27"/>
      <c r="D115" s="27"/>
      <c r="E115" s="23"/>
      <c r="F115" s="23"/>
      <c r="G115" s="27"/>
      <c r="H115" s="95"/>
      <c r="I115" s="95"/>
      <c r="J115" s="95"/>
      <c r="K115" s="95"/>
      <c r="L115" s="95"/>
      <c r="M115" s="95"/>
      <c r="N115" s="95"/>
      <c r="O115" s="95"/>
      <c r="P115" s="95"/>
      <c r="Q115" s="95"/>
      <c r="R115" s="95"/>
      <c r="S115" s="95"/>
      <c r="T115" s="95"/>
      <c r="U115" s="95"/>
      <c r="V115" s="95"/>
      <c r="W115" s="95"/>
      <c r="X115" s="27"/>
    </row>
    <row r="116" spans="2:24" x14ac:dyDescent="0.2">
      <c r="E116" s="23"/>
      <c r="F116" s="23"/>
      <c r="G116" s="98"/>
      <c r="H116" s="98"/>
      <c r="I116" s="98"/>
      <c r="J116" s="98"/>
      <c r="K116" s="98"/>
      <c r="L116" s="98"/>
      <c r="M116" s="98"/>
      <c r="N116" s="98"/>
      <c r="O116" s="98"/>
      <c r="P116" s="98"/>
      <c r="Q116" s="98"/>
      <c r="R116" s="98"/>
      <c r="S116" s="98"/>
      <c r="T116" s="98"/>
      <c r="U116" s="98"/>
      <c r="V116" s="98"/>
      <c r="W116" s="98"/>
    </row>
    <row r="117" spans="2:24" x14ac:dyDescent="0.2">
      <c r="D117" s="185"/>
      <c r="E117" s="185"/>
      <c r="F117" s="185"/>
      <c r="G117" s="185"/>
    </row>
    <row r="118" spans="2:24" x14ac:dyDescent="0.2">
      <c r="D118" s="185"/>
      <c r="E118" s="185"/>
      <c r="F118" s="185"/>
      <c r="G118" s="185"/>
      <c r="H118" s="185"/>
      <c r="I118" s="185"/>
      <c r="J118" s="185"/>
      <c r="K118" s="185"/>
      <c r="L118" s="185"/>
      <c r="M118" s="185"/>
      <c r="N118" s="185"/>
      <c r="O118" s="185"/>
      <c r="P118" s="185"/>
      <c r="Q118" s="185"/>
      <c r="R118" s="185"/>
      <c r="S118" s="185"/>
      <c r="T118" s="185"/>
      <c r="U118" s="98"/>
      <c r="V118" s="98"/>
      <c r="W118" s="98"/>
    </row>
    <row r="119" spans="2:24" x14ac:dyDescent="0.2">
      <c r="E119" s="23"/>
      <c r="F119" s="23"/>
      <c r="G119" s="98"/>
      <c r="H119" s="98"/>
      <c r="I119" s="98"/>
      <c r="J119" s="98"/>
      <c r="K119" s="98"/>
      <c r="L119" s="98"/>
      <c r="M119" s="98"/>
      <c r="N119" s="98"/>
      <c r="O119" s="98"/>
      <c r="P119" s="98"/>
      <c r="Q119" s="98"/>
      <c r="R119" s="98"/>
      <c r="S119" s="98"/>
      <c r="T119" s="98"/>
      <c r="U119" s="98"/>
      <c r="V119" s="98"/>
      <c r="W119" s="98"/>
      <c r="X119" s="98"/>
    </row>
    <row r="120" spans="2:24" x14ac:dyDescent="0.2">
      <c r="G120" s="98"/>
      <c r="H120" s="98"/>
      <c r="I120" s="98"/>
      <c r="J120" s="98"/>
      <c r="K120" s="98"/>
      <c r="L120" s="98"/>
      <c r="M120" s="98"/>
      <c r="N120" s="98"/>
      <c r="O120" s="98"/>
      <c r="P120" s="98"/>
      <c r="Q120" s="98"/>
      <c r="R120" s="98"/>
      <c r="S120" s="98"/>
      <c r="T120" s="98"/>
      <c r="U120" s="98"/>
      <c r="V120" s="98"/>
      <c r="W120" s="98"/>
      <c r="X120" s="98"/>
    </row>
    <row r="121" spans="2:24" x14ac:dyDescent="0.2">
      <c r="E121" s="23"/>
      <c r="F121" s="76"/>
      <c r="G121" s="76"/>
      <c r="H121" s="76"/>
      <c r="I121" s="76"/>
      <c r="J121" s="76"/>
      <c r="K121" s="76"/>
      <c r="L121" s="76"/>
      <c r="M121" s="76"/>
      <c r="N121" s="76"/>
      <c r="O121" s="76"/>
      <c r="P121" s="76"/>
      <c r="Q121" s="76"/>
      <c r="R121" s="76"/>
      <c r="S121" s="76"/>
      <c r="T121" s="76"/>
      <c r="U121" s="76"/>
      <c r="V121" s="76"/>
      <c r="W121" s="76"/>
      <c r="X121" s="98"/>
    </row>
    <row r="122" spans="2:24" x14ac:dyDescent="0.2">
      <c r="E122" s="23"/>
      <c r="F122" s="23"/>
      <c r="G122" s="98"/>
      <c r="H122" s="98"/>
      <c r="I122" s="98"/>
      <c r="J122" s="98"/>
      <c r="K122" s="98"/>
      <c r="L122" s="98"/>
      <c r="M122" s="98"/>
      <c r="N122" s="98"/>
      <c r="O122" s="98"/>
      <c r="P122" s="98"/>
      <c r="Q122" s="98"/>
      <c r="R122" s="98"/>
      <c r="S122" s="98"/>
      <c r="T122" s="98"/>
      <c r="U122" s="98"/>
      <c r="V122" s="98"/>
      <c r="W122" s="98"/>
      <c r="X122" s="98"/>
    </row>
    <row r="123" spans="2:24" x14ac:dyDescent="0.2">
      <c r="G123" s="98"/>
      <c r="H123" s="98"/>
      <c r="I123" s="98"/>
      <c r="J123" s="98"/>
      <c r="K123" s="98"/>
      <c r="L123" s="98"/>
      <c r="M123" s="98"/>
      <c r="N123" s="98"/>
      <c r="O123" s="98"/>
      <c r="P123" s="98"/>
      <c r="Q123" s="98"/>
      <c r="R123" s="98"/>
      <c r="S123" s="98"/>
      <c r="T123" s="98"/>
      <c r="U123" s="98"/>
      <c r="V123" s="98"/>
      <c r="W123" s="98"/>
      <c r="X123" s="98"/>
    </row>
  </sheetData>
  <conditionalFormatting sqref="U10:W43 U45:W52 U82:W103 U105:W129 U54:W80">
    <cfRule type="expression" dxfId="7"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5"/>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HR</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-1.167449</v>
      </c>
      <c r="D12" s="2">
        <f>'Input data'!D13</f>
        <v>0.20019870000000001</v>
      </c>
      <c r="E12" s="2">
        <f>'Input data'!E13</f>
        <v>-0.118968</v>
      </c>
      <c r="F12" s="2">
        <f>'Input data'!F13</f>
        <v>-1.9611449999999999</v>
      </c>
      <c r="G12" s="3">
        <f>IF(G10&lt;=$C$6,
IF(AND(F78&lt;=-1.55,'Criteria results'!$F$5=4,'Criteria results'!$F$6&lt;0.4),F12+0.4,
IF(AND(F78&lt;=-1.55,'Criteria results'!$F$5=7,'Criteria results'!$F$6&lt;0.25),F12+0.25,
F12+'Criteria results'!$F$6)),F12)</f>
        <v>-1.5611449999999998</v>
      </c>
      <c r="H12" s="3">
        <f>IF(H10&lt;=$C$6,
IF(AND(G78&lt;=-1.55,'Criteria results'!$F$5=4,'Criteria results'!$F$6&lt;0.4),G12+0.4,
IF(AND(G78&lt;=-1.55,'Criteria results'!$F$5=7,'Criteria results'!$F$6&lt;0.25),G12+0.25,
G12+'Criteria results'!$F$6)),G12)</f>
        <v>-1.1611449999999999</v>
      </c>
      <c r="I12" s="3">
        <f>IF(I10&lt;=$C$6,
IF(AND(H78&lt;=-1.55,'Criteria results'!$F$5=4,'Criteria results'!$F$6&lt;0.4),H12+0.4,
IF(AND(H78&lt;=-1.55,'Criteria results'!$F$5=7,'Criteria results'!$F$6&lt;0.25),H12+0.25,
H12+'Criteria results'!$F$6)),H12)</f>
        <v>-0.76114499999999985</v>
      </c>
      <c r="J12" s="3">
        <f>IF(J10&lt;=$C$6,
IF(AND(I78&lt;=-1.55,'Criteria results'!$F$5=4,'Criteria results'!$F$6&lt;0.4),I12+0.4,
IF(AND(I78&lt;=-1.55,'Criteria results'!$F$5=7,'Criteria results'!$F$6&lt;0.25),I12+0.25,
I12+'Criteria results'!$F$6)),I12)</f>
        <v>-0.36114499999999983</v>
      </c>
      <c r="K12" s="96">
        <f>IF(K10&lt;=$C$6,
IF(AND(J78&lt;=-1.55,'Criteria results'!$F$5=4,'Criteria results'!$F$6&lt;0.4),J12+0.4,
IF(AND(J78&lt;=-1.55,'Criteria results'!$F$5=7,'Criteria results'!$F$6&lt;0.25),J12+0.25,
J12+'Criteria results'!$F$6)),J12)</f>
        <v>-0.36114499999999983</v>
      </c>
      <c r="L12" s="96">
        <f>IF(L10&lt;=$C$6,
IF(AND(K78&lt;=-1.55,'Criteria results'!$F$5=4,'Criteria results'!$F$6&lt;0.4),K12+0.4,
IF(AND(K78&lt;=-1.55,'Criteria results'!$F$5=7,'Criteria results'!$F$6&lt;0.25),K12+0.25,
K12+'Criteria results'!$F$6)),K12)</f>
        <v>-0.36114499999999983</v>
      </c>
      <c r="M12" s="96">
        <f>IF(M10&lt;=$C$6,
IF(AND(L78&lt;=-1.55,'Criteria results'!$F$5=4,'Criteria results'!$F$6&lt;0.4),L12+0.4,
IF(AND(L78&lt;=-1.55,'Criteria results'!$F$5=7,'Criteria results'!$F$6&lt;0.25),L12+0.25,
L12+'Criteria results'!$F$6)),L12)</f>
        <v>-0.36114499999999983</v>
      </c>
      <c r="N12" s="96">
        <f>M12</f>
        <v>-0.36114499999999983</v>
      </c>
      <c r="O12" s="96">
        <f t="shared" ref="O12:W12" si="0">N12</f>
        <v>-0.36114499999999983</v>
      </c>
      <c r="P12" s="96">
        <f t="shared" si="0"/>
        <v>-0.36114499999999983</v>
      </c>
      <c r="Q12" s="96">
        <f t="shared" si="0"/>
        <v>-0.36114499999999983</v>
      </c>
      <c r="R12" s="96">
        <f t="shared" si="0"/>
        <v>-0.36114499999999983</v>
      </c>
      <c r="S12" s="96">
        <f t="shared" si="0"/>
        <v>-0.36114499999999983</v>
      </c>
      <c r="T12" s="96">
        <f t="shared" si="0"/>
        <v>-0.36114499999999983</v>
      </c>
      <c r="U12" s="96">
        <f t="shared" si="0"/>
        <v>-0.36114499999999983</v>
      </c>
      <c r="V12" s="96">
        <f t="shared" si="0"/>
        <v>-0.36114499999999983</v>
      </c>
      <c r="W12" s="96">
        <f t="shared" si="0"/>
        <v>-0.36114499999999983</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0.40000000000000013</v>
      </c>
      <c r="H13" s="188">
        <f t="shared" ref="H13:W13" si="1">H12-G12</f>
        <v>0.39999999999999991</v>
      </c>
      <c r="I13" s="188">
        <f t="shared" si="1"/>
        <v>0.4</v>
      </c>
      <c r="J13" s="188">
        <f t="shared" si="1"/>
        <v>0.4</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-0.29251179999999999</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2.5225840000000002</v>
      </c>
      <c r="D15" s="2">
        <f>'Input data'!D15</f>
        <v>-5.1615739999999999</v>
      </c>
      <c r="E15" s="2">
        <f>'Input data'!E15</f>
        <v>2.9723419999999998</v>
      </c>
      <c r="F15" s="2">
        <f>'Input data'!F15</f>
        <v>-1.2972429999999999</v>
      </c>
      <c r="G15" s="2">
        <f>'Input data'!G15</f>
        <v>-0.2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18.73057</v>
      </c>
      <c r="E18" s="79">
        <f>'Input data'!E20</f>
        <v>19.072150000000001</v>
      </c>
      <c r="F18" s="79">
        <f>'Input data'!F20</f>
        <v>19.672080000000001</v>
      </c>
      <c r="G18" s="79">
        <f>'Input data'!G20</f>
        <v>19.686590000000006</v>
      </c>
      <c r="H18" s="79">
        <f>'Input data'!H20</f>
        <v>19.617419999999999</v>
      </c>
      <c r="I18" s="79">
        <f>'Input data'!I20</f>
        <v>19.589290000000002</v>
      </c>
      <c r="J18" s="79">
        <f>'Input data'!J20</f>
        <v>19.582280000000004</v>
      </c>
      <c r="K18" s="79">
        <f>'Input data'!K20</f>
        <v>19.575480000000002</v>
      </c>
      <c r="L18" s="79">
        <f>'Input data'!L20</f>
        <v>19.559480000000001</v>
      </c>
      <c r="M18" s="79">
        <f>'Input data'!M20</f>
        <v>19.53959</v>
      </c>
      <c r="N18" s="79">
        <f>'Input data'!N20</f>
        <v>19.500919999999997</v>
      </c>
      <c r="O18" s="79">
        <f>'Input data'!O20</f>
        <v>19.449690000000004</v>
      </c>
      <c r="P18" s="79">
        <f>'Input data'!P20</f>
        <v>19.407900000000001</v>
      </c>
      <c r="Q18" s="79">
        <f>'Input data'!Q20</f>
        <v>19.380710000000001</v>
      </c>
      <c r="R18" s="79">
        <f>'Input data'!R20</f>
        <v>19.350300000000001</v>
      </c>
      <c r="S18" s="79">
        <f>'Input data'!S20</f>
        <v>19.29298</v>
      </c>
      <c r="T18" s="79">
        <f>'Input data'!T20</f>
        <v>19.228539999999999</v>
      </c>
      <c r="U18" s="79">
        <f>'Input data'!U20</f>
        <v>19.15353</v>
      </c>
      <c r="V18" s="79">
        <f>'Input data'!V20</f>
        <v>19.077999999999999</v>
      </c>
      <c r="W18" s="79">
        <f>'Input data'!W20</f>
        <v>19.007649999999998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0.78728819999999999</v>
      </c>
      <c r="D19" s="79">
        <f>'Input data'!D26</f>
        <v>0.62805219999999995</v>
      </c>
      <c r="E19" s="79">
        <f>'Input data'!E26</f>
        <v>0.62721289999999996</v>
      </c>
      <c r="F19" s="79">
        <f>'Input data'!F26</f>
        <v>0.62637359999999997</v>
      </c>
      <c r="G19" s="79">
        <f>'Input data'!G26</f>
        <v>0.62553440000000005</v>
      </c>
      <c r="H19" s="79">
        <f>'Input data'!H26</f>
        <v>0.62469509999999995</v>
      </c>
      <c r="I19" s="79">
        <f>'Input data'!I26</f>
        <v>0.62385579999999996</v>
      </c>
      <c r="J19" s="79">
        <f>'Input data'!J26</f>
        <v>0.62301649999999997</v>
      </c>
      <c r="K19" s="79">
        <f>'Input data'!K26</f>
        <v>0.62217710000000004</v>
      </c>
      <c r="L19" s="79">
        <f>'Input data'!L26</f>
        <v>0.62133780000000005</v>
      </c>
      <c r="M19" s="79">
        <f>'Input data'!M26</f>
        <v>0.62049849999999995</v>
      </c>
      <c r="N19" s="79">
        <f>'Input data'!N26</f>
        <v>0.61965919999999997</v>
      </c>
      <c r="O19" s="79">
        <f>'Input data'!O26</f>
        <v>0.61881980000000003</v>
      </c>
      <c r="P19" s="79">
        <f>'Input data'!P26</f>
        <v>0.61798050000000004</v>
      </c>
      <c r="Q19" s="79">
        <f>'Input data'!Q26</f>
        <v>0.61714119999999995</v>
      </c>
      <c r="R19" s="79">
        <f>'Input data'!R26</f>
        <v>0.61630189999999996</v>
      </c>
      <c r="S19" s="79">
        <f>'Input data'!S26</f>
        <v>0.61546250000000002</v>
      </c>
      <c r="T19" s="79">
        <f>'Input data'!T26</f>
        <v>0.61462320000000004</v>
      </c>
      <c r="U19" s="79">
        <f>'Input data'!U26</f>
        <v>0.61378390000000005</v>
      </c>
      <c r="V19" s="79">
        <f>'Input data'!V26</f>
        <v>0.61294459999999995</v>
      </c>
      <c r="W19" s="79">
        <f>'Input data'!W26</f>
        <v>0.61210529999999996</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54.263080000000002</v>
      </c>
      <c r="D23" s="78">
        <f>'Baseline NFPC'!D22</f>
        <v>58.076269808791601</v>
      </c>
      <c r="E23" s="78">
        <f>'Baseline NFPC'!E22</f>
        <v>59.853910090013358</v>
      </c>
      <c r="F23" s="78">
        <f>'Baseline NFPC'!F22</f>
        <v>61.828244584312429</v>
      </c>
      <c r="G23" s="23">
        <f>IF(AND(G50&gt;1,F50&gt;1),IF(AND(G50&gt;0,F50&gt;0),G27*(G51/100+1),0)+IF(G50&gt;0,F23*(1+G52/100),0)-F23*(1+'Input data'!G30/100),IF(G50=1,G27,F23*(1+G52/100)))</f>
        <v>63.474428397476643</v>
      </c>
      <c r="H23" s="23">
        <f>IF(AND(H50&gt;1,G50&gt;1),IF(AND(H50&gt;0,G50&gt;0),H27*(H51/100+1),0)+IF(H50&gt;0,G23*(1+H52/100),0)-G23*(1+'Input data'!H30/100),IF(H50=1,H27,G23*(1+H52/100)))</f>
        <v>64.648995773527645</v>
      </c>
      <c r="I23" s="23">
        <f>IF(AND(I50&gt;1,H50&gt;1),IF(AND(I50&gt;0,H50&gt;0),I27*(I51/100+1),0)+IF(I50&gt;0,H23*(1+I52/100),0)-H23*(1+'Input data'!I30/100),IF(I50=1,I27,H23*(1+I52/100)))</f>
        <v>65.777824173923392</v>
      </c>
      <c r="J23" s="23">
        <f>IF(AND(J50&gt;1,I50&gt;1),IF(AND(J50&gt;0,I50&gt;0),J27*(J51/100+1),0)+IF(J50&gt;0,I23*(1+J52/100),0)-I23*(1+'Input data'!J30/100),IF(J50=1,J27,I23*(1+J52/100)))</f>
        <v>66.924276026474587</v>
      </c>
      <c r="K23" s="23">
        <f>IF(AND(K50&gt;1,J50&gt;1),IF(AND(K50&gt;0,J50&gt;0),K27*(K51/100+1),0)+IF(K50&gt;0,J23*(1+K52/100),0)-J23*(1+'Input data'!K30/100),IF(K50=1,K27,J23*(1+K52/100)))</f>
        <v>68.321428556062614</v>
      </c>
      <c r="L23" s="23">
        <f>IF(AND(L50&gt;1,K50&gt;1),IF(AND(L50&gt;0,K50&gt;0),L27*(L51/100+1),0)+IF(L50&gt;0,K23*(1+L52/100),0)-K23*(1+'Input data'!L30/100),IF(L50=1,L27,K23*(1+L52/100)))</f>
        <v>69.662456823822424</v>
      </c>
      <c r="M23" s="23">
        <f>IF(AND(M50&gt;1,L50&gt;1),IF(AND(M50&gt;0,L50&gt;0),M27*(M51/100+1),0)+IF(M50&gt;0,L23*(1+M52/100),0)-L23*(1+'Input data'!M30/100),IF(M50=1,M27,L23*(1+M52/100)))</f>
        <v>70.937661182716141</v>
      </c>
      <c r="N23" s="23">
        <f>IF(AND(N50&gt;1,M50&gt;1),IF(AND(N50&gt;0,M50&gt;0),N27*(N51/100+1),0)+IF(N50&gt;0,M23*(1+N52/100),0)-M23*(1+'Input data'!N30/100),IF(N50=1,N27,M23*(1+N52/100)))</f>
        <v>72.141343477066869</v>
      </c>
      <c r="O23" s="23">
        <f>IF(AND(O50&gt;1,N50&gt;1),IF(AND(O50&gt;0,N50&gt;0),O27*(O51/100+1),0)+IF(O50&gt;0,N23*(1+O52/100),0)-N23*(1+'Input data'!O30/100),IF(O50=1,O27,N23*(1+O52/100)))</f>
        <v>73.315308937843838</v>
      </c>
      <c r="P23" s="23">
        <f>IF(AND(P50&gt;1,O50&gt;1),IF(AND(P50&gt;0,O50&gt;0),P27*(P51/100+1),0)+IF(P50&gt;0,O23*(1+P52/100),0)-O23*(1+'Input data'!P30/100),IF(P50=1,P27,O23*(1+P52/100)))</f>
        <v>74.467813130744233</v>
      </c>
      <c r="Q23" s="23">
        <f>IF(AND(Q50&gt;1,P50&gt;1),IF(AND(Q50&gt;0,P50&gt;0),Q27*(Q51/100+1),0)+IF(Q50&gt;0,P23*(1+Q52/100),0)-P23*(1+'Input data'!Q30/100),IF(Q50=1,Q27,P23*(1+Q52/100)))</f>
        <v>75.59723815472924</v>
      </c>
      <c r="R23" s="23">
        <f>IF(AND(R50&gt;1,Q50&gt;1),IF(AND(R50&gt;0,Q50&gt;0),R27*(R51/100+1),0)+IF(R50&gt;0,Q23*(1+R52/100),0)-Q23*(1+'Input data'!R30/100),IF(R50=1,R27,Q23*(1+R52/100)))</f>
        <v>76.70196705491766</v>
      </c>
      <c r="S23" s="23">
        <f>IF(AND(S50&gt;1,R50&gt;1),IF(AND(S50&gt;0,R50&gt;0),S27*(S51/100+1),0)+IF(S50&gt;0,R23*(1+S52/100),0)-R23*(1+'Input data'!S30/100),IF(S50=1,S27,R23*(1+S52/100)))</f>
        <v>77.879411280981003</v>
      </c>
      <c r="T23" s="23">
        <f>IF(AND(T50&gt;1,S50&gt;1),IF(AND(T50&gt;0,S50&gt;0),T27*(T51/100+1),0)+IF(T50&gt;0,S23*(1+T52/100),0)-S23*(1+'Input data'!T30/100),IF(T50=1,T27,S23*(1+T52/100)))</f>
        <v>79.097710842208016</v>
      </c>
      <c r="U23" s="23">
        <f>IF(AND(U50&gt;1,T50&gt;1),IF(AND(U50&gt;0,T50&gt;0),U27*(U51/100+1),0)+IF(U50&gt;0,T23*(1+U52/100),0)-T23*(1+'Input data'!U30/100),IF(U50=1,U27,T23*(1+U52/100)))</f>
        <v>80.382150093398735</v>
      </c>
      <c r="V23" s="23">
        <f>IF(AND(V50&gt;1,U50&gt;1),IF(AND(V50&gt;0,U50&gt;0),V27*(V51/100+1),0)+IF(V50&gt;0,U23*(1+V52/100),0)-U23*(1+'Input data'!V30/100),IF(V50=1,V27,U23*(1+V52/100)))</f>
        <v>81.729180499698387</v>
      </c>
      <c r="W23" s="23">
        <f>IF(AND(W50&gt;1,V50&gt;1),IF(AND(W50&gt;0,V50&gt;0),W27*(W51/100+1),0)+IF(W50&gt;0,V23*(1+W52/100),0)-V23*(1+'Input data'!W30/100),IF(W50=1,W27,V23*(1+W52/100)))</f>
        <v>83.089265214898845</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13.04114</v>
      </c>
      <c r="D24" s="78">
        <f>'Baseline NFPC'!D23</f>
        <v>7.0272269999999999</v>
      </c>
      <c r="E24" s="78">
        <f>'Baseline NFPC'!E23</f>
        <v>3.0608719999999998</v>
      </c>
      <c r="F24" s="78">
        <f>'Baseline NFPC'!F23</f>
        <v>3.2985890000000002</v>
      </c>
      <c r="G24" s="23">
        <f t="shared" ref="G24:S24" si="2">100*(G23/F23-1)</f>
        <v>2.6625109999999896</v>
      </c>
      <c r="H24" s="23">
        <f t="shared" si="2"/>
        <v>1.8504575869448869</v>
      </c>
      <c r="I24" s="23">
        <f t="shared" si="2"/>
        <v>1.7460880666269718</v>
      </c>
      <c r="J24" s="23">
        <f t="shared" si="2"/>
        <v>1.7429154383700185</v>
      </c>
      <c r="K24" s="23">
        <f t="shared" si="2"/>
        <v>2.0876617761771854</v>
      </c>
      <c r="L24" s="23">
        <f t="shared" si="2"/>
        <v>1.9628223473977968</v>
      </c>
      <c r="M24" s="23">
        <f t="shared" si="2"/>
        <v>1.8305474957892143</v>
      </c>
      <c r="N24" s="23">
        <f t="shared" si="2"/>
        <v>1.6968169999999949</v>
      </c>
      <c r="O24" s="23">
        <f t="shared" si="2"/>
        <v>1.627313000000008</v>
      </c>
      <c r="P24" s="23">
        <f t="shared" si="2"/>
        <v>1.5719830000000101</v>
      </c>
      <c r="Q24" s="23">
        <f t="shared" si="2"/>
        <v>1.516662000000002</v>
      </c>
      <c r="R24" s="23">
        <f t="shared" si="2"/>
        <v>1.461335000000008</v>
      </c>
      <c r="S24" s="23">
        <f t="shared" si="2"/>
        <v>1.5350900000000056</v>
      </c>
      <c r="T24" s="23">
        <f>100*(T23/S23-1)</f>
        <v>1.5643410000000024</v>
      </c>
      <c r="U24" s="23">
        <f t="shared" ref="U24" si="3">100*(U23/T23-1)</f>
        <v>1.6238640000000082</v>
      </c>
      <c r="V24" s="23">
        <f t="shared" ref="V24" si="4">100*(V23/U23-1)</f>
        <v>1.6757829999999974</v>
      </c>
      <c r="W24" s="23">
        <f t="shared" ref="W24" si="5">100*(W23/V23-1)</f>
        <v>1.6641359999999938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54.062049999999999</v>
      </c>
      <c r="D27" s="78">
        <f>+C27*(1+'Input data'!D33/100)</f>
        <v>56.073728074007001</v>
      </c>
      <c r="E27" s="78">
        <f>+D27*(1+'Input data'!E33/100)</f>
        <v>58.378845017808374</v>
      </c>
      <c r="F27" s="78">
        <f>+E27*(1+'Input data'!F33/100)</f>
        <v>60.49657381571329</v>
      </c>
      <c r="G27" s="23">
        <f>+F27*(1+'Input data'!G33/100)</f>
        <v>62.457947149604507</v>
      </c>
      <c r="H27" s="23">
        <f>+G27*(1+'Input data'!H33/100)</f>
        <v>64.14347728446991</v>
      </c>
      <c r="I27" s="23">
        <f>+H27*(1+'Input data'!I33/100)</f>
        <v>65.626964535453311</v>
      </c>
      <c r="J27" s="23">
        <f>+I27*(1+'Input data'!J33/100)</f>
        <v>67.018903265475231</v>
      </c>
      <c r="K27" s="23">
        <f>+J27*(1+'Input data'!K33/100)</f>
        <v>68.385800040617852</v>
      </c>
      <c r="L27" s="23">
        <f>+K27*(1+'Input data'!L33/100)</f>
        <v>69.695258862233601</v>
      </c>
      <c r="M27" s="23">
        <f>+L27*(1+'Input data'!M33/100)</f>
        <v>70.937661182716141</v>
      </c>
      <c r="N27" s="23">
        <f>+M27*(1+'Input data'!N33/100)</f>
        <v>72.141339930183818</v>
      </c>
      <c r="O27" s="23">
        <f>+N27*(1+'Input data'!O33/100)</f>
        <v>73.315303169001695</v>
      </c>
      <c r="P27" s="23">
        <f>+O27*(1+'Input data'!P33/100)</f>
        <v>74.4678080043699</v>
      </c>
      <c r="Q27" s="23">
        <f>+P27*(1+'Input data'!Q33/100)</f>
        <v>75.597230716570891</v>
      </c>
      <c r="R27" s="23">
        <f>+Q27*(1+'Input data'!R33/100)</f>
        <v>76.701957996118281</v>
      </c>
      <c r="S27" s="23">
        <f>+R27*(1+'Input data'!S33/100)</f>
        <v>77.879401316101308</v>
      </c>
      <c r="T27" s="23">
        <f>+S27*(1+'Input data'!T33/100)</f>
        <v>79.097700721443616</v>
      </c>
      <c r="U27" s="23">
        <f>+T27*(1+'Input data'!U33/100)</f>
        <v>80.38213980828688</v>
      </c>
      <c r="V27" s="23">
        <f>+U27*(1+'Input data'!V33/100)</f>
        <v>81.729174061337361</v>
      </c>
      <c r="W27" s="23">
        <f>+V27*(1+'Input data'!W33/100)</f>
        <v>83.089258669394738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0.37185049401566861</v>
      </c>
      <c r="D30" s="78">
        <f t="shared" ref="D30:T30" si="6">100*(D23/D27-1)</f>
        <v>3.5712655526338732</v>
      </c>
      <c r="E30" s="78">
        <f t="shared" si="6"/>
        <v>2.5267116397301503</v>
      </c>
      <c r="F30" s="78">
        <f t="shared" si="6"/>
        <v>2.2012333667948303</v>
      </c>
      <c r="G30" s="23">
        <f t="shared" si="6"/>
        <v>1.6274650292898318</v>
      </c>
      <c r="H30" s="23">
        <f t="shared" si="6"/>
        <v>0.78810583781701027</v>
      </c>
      <c r="I30" s="23">
        <f t="shared" si="6"/>
        <v>0.22987447238791425</v>
      </c>
      <c r="J30" s="23">
        <f t="shared" si="6"/>
        <v>-0.14119484860235509</v>
      </c>
      <c r="K30" s="23">
        <f t="shared" si="6"/>
        <v>-9.4129899068229328E-2</v>
      </c>
      <c r="L30" s="23">
        <f t="shared" si="6"/>
        <v>-4.7064949534103562E-2</v>
      </c>
      <c r="M30" s="23">
        <f>100*(M23/M27-1)</f>
        <v>0</v>
      </c>
      <c r="N30" s="23">
        <f t="shared" si="6"/>
        <v>4.9165749471669074E-6</v>
      </c>
      <c r="O30" s="23">
        <f t="shared" si="6"/>
        <v>7.8685375326514873E-6</v>
      </c>
      <c r="P30" s="23">
        <f t="shared" si="6"/>
        <v>6.8840140032833119E-6</v>
      </c>
      <c r="Q30" s="23">
        <f t="shared" si="6"/>
        <v>9.8391942149334E-6</v>
      </c>
      <c r="R30" s="23">
        <f t="shared" si="6"/>
        <v>1.1810388689248441E-5</v>
      </c>
      <c r="S30" s="23">
        <f t="shared" si="6"/>
        <v>1.2795270021292993E-5</v>
      </c>
      <c r="T30" s="23">
        <f t="shared" si="6"/>
        <v>1.2795270043497453E-5</v>
      </c>
      <c r="U30" s="23">
        <f t="shared" ref="U30:W30" si="7">100*(U23/U27-1)</f>
        <v>1.2795270043497453E-5</v>
      </c>
      <c r="V30" s="23">
        <f t="shared" si="7"/>
        <v>7.8776778211775422E-6</v>
      </c>
      <c r="W30" s="23">
        <f t="shared" si="7"/>
        <v>7.8776778211775422E-6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8">100*((1+C24/100)*(1+C42/100)-1)</f>
        <v>15.453914961210803</v>
      </c>
      <c r="D33" s="2">
        <f t="shared" si="8"/>
        <v>16.181890764315664</v>
      </c>
      <c r="E33" s="2">
        <f t="shared" si="8"/>
        <v>11.844406927856244</v>
      </c>
      <c r="F33" s="2">
        <f>100*((1+F24/100)*(1+F42/100)-1)</f>
        <v>9.0098037410534904</v>
      </c>
      <c r="G33" s="1">
        <f>100*((1+G24/100)*(1+G42/100)-1)</f>
        <v>4.8713626814222533</v>
      </c>
      <c r="H33" s="1">
        <f t="shared" si="8"/>
        <v>4.0925632597527573</v>
      </c>
      <c r="I33" s="1">
        <f t="shared" si="8"/>
        <v>4.0365700559304329</v>
      </c>
      <c r="J33" s="1">
        <f t="shared" si="8"/>
        <v>4.0839983022373794</v>
      </c>
      <c r="K33" s="1">
        <f t="shared" si="8"/>
        <v>4.4875211743090615</v>
      </c>
      <c r="L33" s="1">
        <f t="shared" si="8"/>
        <v>4.4105288604095794</v>
      </c>
      <c r="M33" s="1">
        <f t="shared" si="8"/>
        <v>4.3257945760294847</v>
      </c>
      <c r="N33" s="1">
        <f t="shared" si="8"/>
        <v>4.2394364965192777</v>
      </c>
      <c r="O33" s="1">
        <f t="shared" si="8"/>
        <v>4.2188094815000188</v>
      </c>
      <c r="P33" s="1">
        <f t="shared" si="8"/>
        <v>4.1341362711750262</v>
      </c>
      <c r="Q33" s="1">
        <f t="shared" si="8"/>
        <v>4.0495027169000108</v>
      </c>
      <c r="R33" s="1">
        <f t="shared" si="8"/>
        <v>3.9648934411250059</v>
      </c>
      <c r="S33" s="1">
        <f t="shared" si="8"/>
        <v>4.0125461959999997</v>
      </c>
      <c r="T33" s="1">
        <f t="shared" si="8"/>
        <v>4.0145807266249944</v>
      </c>
      <c r="U33" s="1">
        <f>100*((1+U24/100)*(1+U42/100)-1)</f>
        <v>4.0475931563999978</v>
      </c>
      <c r="V33" s="1">
        <f t="shared" si="8"/>
        <v>4.0727895842249895</v>
      </c>
      <c r="W33" s="1">
        <f t="shared" si="8"/>
        <v>4.0329103688000023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2.0416150000000002</v>
      </c>
      <c r="D36" s="78">
        <f>'Input data'!D37</f>
        <v>2.038402</v>
      </c>
      <c r="E36" s="78">
        <f>'Input data'!E37</f>
        <v>2.7909440000000001</v>
      </c>
      <c r="F36" s="78">
        <f>'Input data'!F37</f>
        <v>2.8182960000000001</v>
      </c>
      <c r="G36" s="78">
        <f>'Input data'!G37</f>
        <v>2.8191980000000001</v>
      </c>
      <c r="H36" s="23">
        <f t="shared" ref="H36:W36" si="9">H99</f>
        <v>2.9124919734040993</v>
      </c>
      <c r="I36" s="23">
        <f t="shared" si="9"/>
        <v>3.0114461648238589</v>
      </c>
      <c r="J36" s="23">
        <f t="shared" si="9"/>
        <v>3.1119386241492526</v>
      </c>
      <c r="K36" s="23">
        <f t="shared" si="9"/>
        <v>3.2128777773736634</v>
      </c>
      <c r="L36" s="23">
        <f t="shared" si="9"/>
        <v>3.3164953087302176</v>
      </c>
      <c r="M36" s="23">
        <f t="shared" si="9"/>
        <v>3.4223521508075292</v>
      </c>
      <c r="N36" s="23">
        <f t="shared" si="9"/>
        <v>3.5301141884243519</v>
      </c>
      <c r="O36" s="23">
        <f t="shared" si="9"/>
        <v>3.6395513511527686</v>
      </c>
      <c r="P36" s="23">
        <f t="shared" si="9"/>
        <v>3.7307914396703907</v>
      </c>
      <c r="Q36" s="23">
        <f t="shared" si="9"/>
        <v>3.8063486569275624</v>
      </c>
      <c r="R36" s="23">
        <f t="shared" si="9"/>
        <v>3.8684511038563403</v>
      </c>
      <c r="S36" s="23">
        <f t="shared" si="9"/>
        <v>3.9189111920950088</v>
      </c>
      <c r="T36" s="23">
        <f t="shared" si="9"/>
        <v>3.9592331264446479</v>
      </c>
      <c r="U36" s="23">
        <f t="shared" si="9"/>
        <v>3.9908666400100672</v>
      </c>
      <c r="V36" s="23">
        <f t="shared" si="9"/>
        <v>4.0150666268756066</v>
      </c>
      <c r="W36" s="23">
        <f t="shared" si="9"/>
        <v>4.0329470632610942</v>
      </c>
    </row>
    <row r="37" spans="2:51" x14ac:dyDescent="0.2">
      <c r="B37" s="21" t="s">
        <v>66</v>
      </c>
      <c r="C37" s="1"/>
      <c r="D37" s="2">
        <f>'Input data'!D$39</f>
        <v>2.7</v>
      </c>
      <c r="E37" s="2">
        <f>'Input data'!E$39</f>
        <v>3.8</v>
      </c>
      <c r="F37" s="138">
        <f>'Input data'!F$39</f>
        <v>3.3516180000000002</v>
      </c>
      <c r="G37" s="138">
        <f>'Input data'!G$39</f>
        <v>3.4386399999999999</v>
      </c>
      <c r="H37" s="1">
        <f>G37+($O$37-$G$37)/($O$10-$G$10)</f>
        <v>3.5561875000000001</v>
      </c>
      <c r="I37" s="1">
        <f t="shared" ref="I37:N37" si="10">H37+($O$37-$G$37)/($O$10-$G$10)</f>
        <v>3.6737350000000002</v>
      </c>
      <c r="J37" s="1">
        <f t="shared" si="10"/>
        <v>3.7912825000000003</v>
      </c>
      <c r="K37" s="1">
        <f t="shared" si="10"/>
        <v>3.9088300000000005</v>
      </c>
      <c r="L37" s="1">
        <f t="shared" si="10"/>
        <v>4.0263775000000006</v>
      </c>
      <c r="M37" s="1">
        <f t="shared" si="10"/>
        <v>4.1439250000000003</v>
      </c>
      <c r="N37" s="1">
        <f t="shared" si="10"/>
        <v>4.2614725</v>
      </c>
      <c r="O37" s="179">
        <f>'Input data'!$C$52</f>
        <v>4.3790199999999997</v>
      </c>
      <c r="P37" s="1">
        <f>'Baseline NFPC'!P36</f>
        <v>4.3600689999999993</v>
      </c>
      <c r="Q37" s="1">
        <f>'Baseline NFPC'!Q36</f>
        <v>4.3411179999999998</v>
      </c>
      <c r="R37" s="1">
        <f>'Baseline NFPC'!R36</f>
        <v>4.3221669999999994</v>
      </c>
      <c r="S37" s="1">
        <f>'Baseline NFPC'!S36</f>
        <v>4.3032159999999999</v>
      </c>
      <c r="T37" s="1">
        <f>'Baseline NFPC'!T36</f>
        <v>4.2842649999999995</v>
      </c>
      <c r="U37" s="1">
        <f>'Baseline NFPC'!U36</f>
        <v>4.265314</v>
      </c>
      <c r="V37" s="1">
        <f>'Baseline NFPC'!V36</f>
        <v>4.2463629999999997</v>
      </c>
      <c r="W37" s="1">
        <f>'Baseline NFPC'!W36</f>
        <v>4.2274120000000002</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7.7560240000000003E-2</v>
      </c>
      <c r="D39" s="23">
        <f>'Baseline NFPC'!D38</f>
        <v>0.10419281</v>
      </c>
      <c r="E39" s="23">
        <f>'Baseline NFPC'!E38</f>
        <v>0.1022535</v>
      </c>
      <c r="F39" s="23">
        <f>'Baseline NFPC'!F38</f>
        <v>9.6918219999999999E-2</v>
      </c>
      <c r="G39" s="23">
        <f>'Baseline NFPC'!G38</f>
        <v>9.8009879999999994E-2</v>
      </c>
      <c r="H39" s="23">
        <f>'Baseline NFPC'!H38</f>
        <v>9.9101540000000002E-2</v>
      </c>
      <c r="I39" s="23">
        <f>'Baseline NFPC'!I38</f>
        <v>0.1001932</v>
      </c>
      <c r="J39" s="23">
        <f>'Baseline NFPC'!J38</f>
        <v>0.10128486</v>
      </c>
      <c r="K39" s="23">
        <f>'Baseline NFPC'!K38</f>
        <v>0.10237652</v>
      </c>
      <c r="L39" s="23">
        <f>'Baseline NFPC'!L38</f>
        <v>0.10346818000000001</v>
      </c>
      <c r="M39" s="23">
        <f>'Baseline NFPC'!M38</f>
        <v>0.10455984</v>
      </c>
      <c r="N39" s="23">
        <f>'Baseline NFPC'!N38</f>
        <v>0.10565150000000001</v>
      </c>
      <c r="O39" s="23">
        <f>'Baseline NFPC'!O38</f>
        <v>0.10674316</v>
      </c>
      <c r="P39" s="23">
        <f>'Baseline NFPC'!P38</f>
        <v>0.10674316</v>
      </c>
      <c r="Q39" s="23">
        <f>'Baseline NFPC'!Q38</f>
        <v>0.10674316</v>
      </c>
      <c r="R39" s="23">
        <f>'Baseline NFPC'!R38</f>
        <v>0.10674316</v>
      </c>
      <c r="S39" s="23">
        <f>'Baseline NFPC'!S38</f>
        <v>0.10674316</v>
      </c>
      <c r="T39" s="23">
        <f>'Baseline NFPC'!T38</f>
        <v>0.10674316</v>
      </c>
      <c r="U39" s="23">
        <f>'Baseline NFPC'!U38</f>
        <v>0.10674316</v>
      </c>
      <c r="V39" s="23">
        <f>'Baseline NFPC'!V38</f>
        <v>0.10674316</v>
      </c>
      <c r="W39" s="23">
        <f>'Baseline NFPC'!W38</f>
        <v>0.10674316</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2.1344219999999998</v>
      </c>
      <c r="D42" s="2">
        <f>'Input data'!D42</f>
        <v>8.5535840000000007</v>
      </c>
      <c r="E42" s="2">
        <f>'Input data'!E42</f>
        <v>8.5226670000000002</v>
      </c>
      <c r="F42" s="2">
        <f>'Input data'!F42</f>
        <v>5.5288409999999999</v>
      </c>
      <c r="G42" s="2">
        <f>'Input data'!G42</f>
        <v>2.1515659999999999</v>
      </c>
      <c r="H42" s="1">
        <f>'Baseline NFPC'!H41</f>
        <v>2.2013702500000001</v>
      </c>
      <c r="I42" s="1">
        <f>'Baseline NFPC'!I41</f>
        <v>2.2511744999999999</v>
      </c>
      <c r="J42" s="1">
        <f>'Baseline NFPC'!J41</f>
        <v>2.3009787499999996</v>
      </c>
      <c r="K42" s="1">
        <f>'Baseline NFPC'!K41</f>
        <v>2.3507829999999998</v>
      </c>
      <c r="L42" s="1">
        <f>'Baseline NFPC'!L41</f>
        <v>2.4005872500000001</v>
      </c>
      <c r="M42" s="1">
        <f>'Baseline NFPC'!M41</f>
        <v>2.4503914999999998</v>
      </c>
      <c r="N42" s="1">
        <f>'Baseline NFPC'!N41</f>
        <v>2.5001957499999996</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0.97267369999999997</v>
      </c>
      <c r="D43" s="1">
        <f>'Baseline NFPC'!D42</f>
        <v>1.09311</v>
      </c>
      <c r="E43" s="1">
        <f>'Baseline NFPC'!E42</f>
        <v>0.97992279999999998</v>
      </c>
      <c r="F43" s="1">
        <f>'Baseline NFPC'!F42</f>
        <v>1.006683</v>
      </c>
      <c r="G43" s="1">
        <f>'Baseline NFPC'!G42</f>
        <v>1.003601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0.443</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4</v>
      </c>
      <c r="H50" s="23">
        <f>IF(AND(ABS((H12-G12)-('Input data'!H13-'Input data'!G13))&gt;0.0001,ABS(H12-G12)&gt;0.0001,H$10&gt;$C$5),4,IF(G50=4,3,IF(G50=3,2,IF(G50=2,1,0))))</f>
        <v>4</v>
      </c>
      <c r="I50" s="23">
        <f>IF(AND(ABS((I12-H12)-('Input data'!I13-'Input data'!H13))&gt;0.0001,ABS(I12-H12)&gt;0.0001,I$10&gt;$C$5),4,IF(H50=4,3,IF(H50=3,2,IF(H50=2,1,0))))</f>
        <v>4</v>
      </c>
      <c r="J50" s="23">
        <f>IF(AND(ABS((J12-I12)-('Input data'!J13-'Input data'!I13))&gt;0.0001,ABS(J12-I12)&gt;0.0001,J$10&gt;$C$5),4,IF(I50=4,3,IF(I50=3,2,IF(I50=2,1,0))))</f>
        <v>4</v>
      </c>
      <c r="K50" s="23">
        <f>IF(AND(ABS((K12-J12)-('Input data'!K13-'Input data'!J13))&gt;0.0001,ABS(K12-J12)&gt;0.0001,K$10&gt;$C$5),4,IF(J50=4,3,IF(J50=3,2,IF(J50=2,1,0))))</f>
        <v>3</v>
      </c>
      <c r="L50" s="23">
        <f>IF(AND(ABS((L12-K12)-('Input data'!L13-'Input data'!K13))&gt;0.0001,ABS(L12-K12)&gt;0.0001,L$10&gt;$C$5),4,IF(K50=4,3,IF(K50=3,2,IF(K50=2,1,0))))</f>
        <v>2</v>
      </c>
      <c r="M50" s="23">
        <f>IF(AND(ABS((M12-L12)-('Input data'!M13-'Input data'!L13))&gt;0.0001,ABS(M12-L12)&gt;0.0001,M$10&gt;$C$5),4,IF(L50=4,3,IF(L50=3,2,IF(L50=2,1,0))))</f>
        <v>1</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12">IF(C50=4,2/3*C30,IF(C50=3,1/3*B30,0))</f>
        <v>0</v>
      </c>
      <c r="E51" s="23">
        <f t="shared" si="12"/>
        <v>0</v>
      </c>
      <c r="F51" s="23">
        <f t="shared" si="12"/>
        <v>0</v>
      </c>
      <c r="G51" s="23">
        <f t="shared" si="12"/>
        <v>0</v>
      </c>
      <c r="H51" s="23">
        <f t="shared" si="12"/>
        <v>1.0849766861932211</v>
      </c>
      <c r="I51" s="23">
        <f t="shared" si="12"/>
        <v>0.52540389187800685</v>
      </c>
      <c r="J51" s="23">
        <f t="shared" si="12"/>
        <v>0.15324964825860948</v>
      </c>
      <c r="K51" s="23">
        <f t="shared" si="12"/>
        <v>-9.4129899068236725E-2</v>
      </c>
      <c r="L51" s="23">
        <f t="shared" si="12"/>
        <v>-4.7064949534118362E-2</v>
      </c>
      <c r="M51" s="23">
        <f t="shared" si="12"/>
        <v>0</v>
      </c>
      <c r="N51" s="23">
        <f t="shared" si="12"/>
        <v>0</v>
      </c>
      <c r="O51" s="23">
        <f t="shared" si="12"/>
        <v>0</v>
      </c>
      <c r="P51" s="23">
        <f t="shared" si="12"/>
        <v>0</v>
      </c>
      <c r="Q51" s="23">
        <f t="shared" si="12"/>
        <v>0</v>
      </c>
      <c r="R51" s="23">
        <f t="shared" si="12"/>
        <v>0</v>
      </c>
      <c r="S51" s="23">
        <f t="shared" si="12"/>
        <v>0</v>
      </c>
      <c r="T51" s="23">
        <f t="shared" si="12"/>
        <v>0</v>
      </c>
      <c r="U51" s="23">
        <f t="shared" si="12"/>
        <v>0</v>
      </c>
      <c r="V51" s="23">
        <f t="shared" si="12"/>
        <v>0</v>
      </c>
      <c r="W51" s="23">
        <f t="shared" si="12"/>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7.0272269999999999</v>
      </c>
      <c r="E52" s="23">
        <f>'Input data'!E30-$C$47*((E12-D12)-('Input data'!E13-'Input data'!D13))</f>
        <v>3.0608719999999998</v>
      </c>
      <c r="F52" s="23">
        <f>'Input data'!F30-$C$47*((F12-E12)-('Input data'!F13-'Input data'!E13))</f>
        <v>3.2985890000000002</v>
      </c>
      <c r="G52" s="23">
        <f>'Input data'!G30-$C$47*((G12-F12))</f>
        <v>2.6625109999999999</v>
      </c>
      <c r="H52" s="23">
        <f>'Input data'!H30-$C$47*((H12-G12))</f>
        <v>1.7523050000000002</v>
      </c>
      <c r="I52" s="23">
        <f>'Input data'!I30-$C$47*((I12-H12))</f>
        <v>1.1487609999999999</v>
      </c>
      <c r="J52" s="23">
        <f>'Input data'!J30-$C$47*((J12-I12))</f>
        <v>1.3861209999999999</v>
      </c>
      <c r="K52" s="23">
        <f>'Input data'!K30-$C$47*((K12-J12))</f>
        <v>2.0395699999999999</v>
      </c>
      <c r="L52" s="23">
        <f>'Input data'!L30-$C$47*((L12-K12))</f>
        <v>1.9148069999999999</v>
      </c>
      <c r="M52" s="23">
        <f>'Input data'!M30-$C$47*((M12-L12))</f>
        <v>1.782619</v>
      </c>
      <c r="N52" s="23">
        <f>'Input data'!N30-$C$47*((N12-M12))</f>
        <v>1.696817</v>
      </c>
      <c r="O52" s="23">
        <f>'Input data'!O30-$C$47*((O12-N12))</f>
        <v>1.627313</v>
      </c>
      <c r="P52" s="23">
        <f>'Input data'!P30-$C$47*((P12-O12))</f>
        <v>1.5719829999999999</v>
      </c>
      <c r="Q52" s="23">
        <f>'Input data'!Q30-$C$47*((Q12-P12))</f>
        <v>1.516662</v>
      </c>
      <c r="R52" s="23">
        <f>'Input data'!R30-$C$47*((R12-Q12))</f>
        <v>1.4613350000000001</v>
      </c>
      <c r="S52" s="23">
        <f>'Input data'!S30-$C$47*((S12-R12))</f>
        <v>1.5350900000000001</v>
      </c>
      <c r="T52" s="23">
        <f>'Input data'!T30-$C$47*((T12-S12))</f>
        <v>1.564341</v>
      </c>
      <c r="U52" s="23">
        <f>'Input data'!U30-$C$47*((U12-T12))</f>
        <v>1.623864</v>
      </c>
      <c r="V52" s="23">
        <f>'Input data'!V30-$C$47*((V12-U12))</f>
        <v>1.675783</v>
      </c>
      <c r="W52" s="23">
        <f>'Input data'!W30-$C$47*((W12-V12))</f>
        <v>1.6641360000000001</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77.53389</v>
      </c>
      <c r="D57" s="32">
        <f>+C57+D58</f>
        <v>67.78423846018319</v>
      </c>
      <c r="E57" s="32">
        <f>+D57+E58</f>
        <v>63.018538203782732</v>
      </c>
      <c r="F57" s="32">
        <f>+E57+F58</f>
        <v>59.525230422292623</v>
      </c>
      <c r="G57" s="32">
        <f>+F57+G58</f>
        <v>59.21016430222484</v>
      </c>
      <c r="H57" s="32">
        <f t="shared" ref="H57:S57" si="13">+G57+H58</f>
        <v>59.350927631530432</v>
      </c>
      <c r="I57" s="32">
        <f t="shared" si="13"/>
        <v>59.425424132668404</v>
      </c>
      <c r="J57" s="32">
        <f t="shared" si="13"/>
        <v>59.294133442385835</v>
      </c>
      <c r="K57" s="32">
        <f t="shared" si="13"/>
        <v>58.96768818223368</v>
      </c>
      <c r="L57" s="32">
        <f t="shared" si="13"/>
        <v>58.710686905649844</v>
      </c>
      <c r="M57" s="32">
        <f t="shared" si="13"/>
        <v>58.523236024671561</v>
      </c>
      <c r="N57" s="32">
        <f t="shared" si="13"/>
        <v>58.40814071626378</v>
      </c>
      <c r="O57" s="32">
        <f t="shared" si="13"/>
        <v>58.316250887170639</v>
      </c>
      <c r="P57" s="32">
        <f t="shared" si="13"/>
        <v>58.282171337336607</v>
      </c>
      <c r="Q57" s="32">
        <f t="shared" si="13"/>
        <v>58.311417237106369</v>
      </c>
      <c r="R57" s="32">
        <f t="shared" si="13"/>
        <v>58.393199409347922</v>
      </c>
      <c r="S57" s="32">
        <f t="shared" si="13"/>
        <v>58.42002554934686</v>
      </c>
      <c r="T57" s="32">
        <f>+S57+T58</f>
        <v>58.404732075670815</v>
      </c>
      <c r="U57" s="32">
        <f>+T57+U58</f>
        <v>58.314511877329011</v>
      </c>
      <c r="V57" s="32">
        <f t="shared" ref="V57" si="14">+U57+V58</f>
        <v>58.149101712454609</v>
      </c>
      <c r="W57" s="32">
        <f t="shared" ref="W57" si="15">+V57+W58</f>
        <v>57.946544932979364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-9.7496515398168047</v>
      </c>
      <c r="E58" s="33">
        <f>-E59+E67+E72</f>
        <v>-4.7657002564004571</v>
      </c>
      <c r="F58" s="33">
        <f>-F59+F67+F72</f>
        <v>-3.4933077814901097</v>
      </c>
      <c r="G58" s="33">
        <f>-G59+G67+G72</f>
        <v>-0.31506612006778478</v>
      </c>
      <c r="H58" s="33">
        <f t="shared" ref="H58:S58" si="16">-H59+H67+H72</f>
        <v>0.14076332930559088</v>
      </c>
      <c r="I58" s="33">
        <f t="shared" si="16"/>
        <v>7.4496501137972793E-2</v>
      </c>
      <c r="J58" s="33">
        <f t="shared" si="16"/>
        <v>-0.1312906902825709</v>
      </c>
      <c r="K58" s="33">
        <f t="shared" si="16"/>
        <v>-0.32644526015215442</v>
      </c>
      <c r="L58" s="33">
        <f t="shared" si="16"/>
        <v>-0.25700127658383864</v>
      </c>
      <c r="M58" s="33">
        <f t="shared" si="16"/>
        <v>-0.18745088097828555</v>
      </c>
      <c r="N58" s="33">
        <f t="shared" si="16"/>
        <v>-0.11509530840777954</v>
      </c>
      <c r="O58" s="33">
        <f t="shared" si="16"/>
        <v>-9.1889829093137476E-2</v>
      </c>
      <c r="P58" s="33">
        <f t="shared" si="16"/>
        <v>-3.4079549834030776E-2</v>
      </c>
      <c r="Q58" s="33">
        <f t="shared" si="16"/>
        <v>2.9245899769764605E-2</v>
      </c>
      <c r="R58" s="33">
        <f t="shared" si="16"/>
        <v>8.1782172241556317E-2</v>
      </c>
      <c r="S58" s="33">
        <f t="shared" si="16"/>
        <v>2.6826139998940124E-2</v>
      </c>
      <c r="T58" s="33">
        <f>-T59+T67+T72</f>
        <v>-1.5293473676048552E-2</v>
      </c>
      <c r="U58" s="33">
        <f t="shared" ref="U58:W58" si="17">-U59+U67+U72</f>
        <v>-9.0220198341803559E-2</v>
      </c>
      <c r="V58" s="33">
        <f t="shared" si="17"/>
        <v>-0.16541016487439902</v>
      </c>
      <c r="W58" s="33">
        <f t="shared" si="17"/>
        <v>-0.20255677947524181</v>
      </c>
    </row>
    <row r="59" spans="2:48" outlineLevel="1" x14ac:dyDescent="0.2">
      <c r="B59" s="65" t="s">
        <v>78</v>
      </c>
      <c r="C59" s="34"/>
      <c r="D59" s="34">
        <f>D60+D61-D62-D63-D64-D65-D66</f>
        <v>1.4897575398168059</v>
      </c>
      <c r="E59" s="34">
        <f t="shared" ref="E59:R59" si="18">E60+E61-E62-E63-E64-E65-E66</f>
        <v>1.0003652564004566</v>
      </c>
      <c r="F59" s="34">
        <f t="shared" si="18"/>
        <v>-0.98599861850989012</v>
      </c>
      <c r="G59" s="34">
        <f t="shared" si="18"/>
        <v>-0.8401779920246043</v>
      </c>
      <c r="H59" s="34">
        <f t="shared" si="18"/>
        <v>-0.81201411384706434</v>
      </c>
      <c r="I59" s="34">
        <f t="shared" si="18"/>
        <v>-0.65931060873215386</v>
      </c>
      <c r="J59" s="34">
        <f t="shared" si="18"/>
        <v>-0.42369431793084311</v>
      </c>
      <c r="K59" s="34">
        <f t="shared" si="18"/>
        <v>-0.39688394528722343</v>
      </c>
      <c r="L59" s="34">
        <f t="shared" si="18"/>
        <v>-0.36087347264360392</v>
      </c>
      <c r="M59" s="34">
        <f t="shared" si="18"/>
        <v>-0.32097299999999596</v>
      </c>
      <c r="N59" s="34">
        <f t="shared" si="18"/>
        <v>-0.28314012195729105</v>
      </c>
      <c r="O59" s="34">
        <f t="shared" si="18"/>
        <v>-0.2327482142378724</v>
      </c>
      <c r="P59" s="34">
        <f t="shared" si="18"/>
        <v>-0.19179795038179343</v>
      </c>
      <c r="Q59" s="34">
        <f t="shared" si="18"/>
        <v>-0.16544594123695883</v>
      </c>
      <c r="R59" s="34">
        <f t="shared" si="18"/>
        <v>-0.13587436799780689</v>
      </c>
      <c r="S59" s="34">
        <f>S60+S61-S62-S63-S64-S65-S66</f>
        <v>-7.939333169537599E-2</v>
      </c>
      <c r="T59" s="34">
        <f>T60+T61-T62-T63-T64-T65-T66</f>
        <v>-1.5792631695364989E-2</v>
      </c>
      <c r="U59" s="34">
        <f>U60+U61-U62-U63-U64-U65-U66</f>
        <v>5.8378068304633934E-2</v>
      </c>
      <c r="V59" s="34">
        <f t="shared" ref="V59:W59" si="19">V60+V61-V62-V63-V64-V65-V66</f>
        <v>0.13306658981127989</v>
      </c>
      <c r="W59" s="34">
        <f t="shared" si="19"/>
        <v>0.20257728981128115</v>
      </c>
    </row>
    <row r="60" spans="2:48" outlineLevel="1" x14ac:dyDescent="0.2">
      <c r="B60" s="64" t="s">
        <v>79</v>
      </c>
      <c r="C60" s="1"/>
      <c r="D60" s="1">
        <f>D12</f>
        <v>0.20019870000000001</v>
      </c>
      <c r="E60" s="1">
        <f>E12</f>
        <v>-0.118968</v>
      </c>
      <c r="F60" s="1">
        <f>F12</f>
        <v>-1.9611449999999999</v>
      </c>
      <c r="G60" s="1">
        <f t="shared" ref="G60:W60" si="20">IF(G12="",F60,G12)</f>
        <v>-1.5611449999999998</v>
      </c>
      <c r="H60" s="1">
        <f t="shared" si="20"/>
        <v>-1.1611449999999999</v>
      </c>
      <c r="I60" s="1">
        <f t="shared" si="20"/>
        <v>-0.76114499999999985</v>
      </c>
      <c r="J60" s="1">
        <f t="shared" si="20"/>
        <v>-0.36114499999999983</v>
      </c>
      <c r="K60" s="1">
        <f t="shared" si="20"/>
        <v>-0.36114499999999983</v>
      </c>
      <c r="L60" s="1">
        <f t="shared" si="20"/>
        <v>-0.36114499999999983</v>
      </c>
      <c r="M60" s="1">
        <f t="shared" si="20"/>
        <v>-0.36114499999999983</v>
      </c>
      <c r="N60" s="1">
        <f t="shared" si="20"/>
        <v>-0.36114499999999983</v>
      </c>
      <c r="O60" s="1">
        <f t="shared" si="20"/>
        <v>-0.36114499999999983</v>
      </c>
      <c r="P60" s="1">
        <f t="shared" si="20"/>
        <v>-0.36114499999999983</v>
      </c>
      <c r="Q60" s="1">
        <f t="shared" si="20"/>
        <v>-0.36114499999999983</v>
      </c>
      <c r="R60" s="1">
        <f t="shared" si="20"/>
        <v>-0.36114499999999983</v>
      </c>
      <c r="S60" s="1">
        <f t="shared" si="20"/>
        <v>-0.36114499999999983</v>
      </c>
      <c r="T60" s="1">
        <f t="shared" si="20"/>
        <v>-0.36114499999999983</v>
      </c>
      <c r="U60" s="1">
        <f t="shared" si="20"/>
        <v>-0.36114499999999983</v>
      </c>
      <c r="V60" s="1">
        <f t="shared" si="20"/>
        <v>-0.36114499999999983</v>
      </c>
      <c r="W60" s="1">
        <f t="shared" si="20"/>
        <v>-0.36114499999999983</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21">-$C$48*D30</f>
        <v>-1.5820706398168058</v>
      </c>
      <c r="E62" s="1">
        <f t="shared" si="21"/>
        <v>-1.1193332564004566</v>
      </c>
      <c r="F62" s="1">
        <f t="shared" si="21"/>
        <v>-0.97514638149010979</v>
      </c>
      <c r="G62" s="1">
        <f t="shared" si="21"/>
        <v>-0.72096700797539548</v>
      </c>
      <c r="H62" s="1">
        <f t="shared" si="21"/>
        <v>-0.34913088615293553</v>
      </c>
      <c r="I62" s="1">
        <f t="shared" si="21"/>
        <v>-0.10183439126784602</v>
      </c>
      <c r="J62" s="1">
        <f t="shared" si="21"/>
        <v>6.2549317930843312E-2</v>
      </c>
      <c r="K62" s="1">
        <f t="shared" si="21"/>
        <v>4.1699545287225595E-2</v>
      </c>
      <c r="L62" s="1">
        <f t="shared" si="21"/>
        <v>2.0849772643607878E-2</v>
      </c>
      <c r="M62" s="1">
        <f>-$C$48*M30</f>
        <v>0</v>
      </c>
      <c r="N62" s="1">
        <f t="shared" si="21"/>
        <v>-2.1780427015949398E-6</v>
      </c>
      <c r="O62" s="1">
        <f t="shared" si="21"/>
        <v>-3.4857621269646089E-6</v>
      </c>
      <c r="P62" s="1">
        <f t="shared" si="21"/>
        <v>-3.0496182034545074E-6</v>
      </c>
      <c r="Q62" s="1">
        <f t="shared" si="21"/>
        <v>-4.3587630372154964E-6</v>
      </c>
      <c r="R62" s="1">
        <f t="shared" si="21"/>
        <v>-5.2320021893370592E-6</v>
      </c>
      <c r="S62" s="1">
        <f t="shared" si="21"/>
        <v>-5.6683046194327961E-6</v>
      </c>
      <c r="T62" s="1">
        <f t="shared" si="21"/>
        <v>-5.6683046292693719E-6</v>
      </c>
      <c r="U62" s="1">
        <f>-$C$48*U30</f>
        <v>-5.6683046292693719E-6</v>
      </c>
      <c r="V62" s="1">
        <f t="shared" si="21"/>
        <v>-3.4898112747816514E-6</v>
      </c>
      <c r="W62" s="1">
        <f t="shared" si="21"/>
        <v>-3.4898112747816514E-6</v>
      </c>
    </row>
    <row r="63" spans="2:48" outlineLevel="1" x14ac:dyDescent="0.2">
      <c r="B63" s="64" t="s">
        <v>82</v>
      </c>
      <c r="C63" s="1"/>
      <c r="D63" s="1">
        <f t="shared" ref="D63:W63" si="22">-D14</f>
        <v>0.29251179999999999</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-6.8000000000019156E-3</v>
      </c>
      <c r="L64" s="1">
        <f>IF(L$56&lt;=$C$6,0,HLOOKUP(L$56,'Input data'!$C$9:$BB$26,12,FALSE)-HLOOKUP($C$6,'Input data'!$C$9:$BB$26,12,FALSE))</f>
        <v>-2.2800000000003706E-2</v>
      </c>
      <c r="M64" s="1">
        <f>IF(M$56&lt;=$C$6,0,HLOOKUP(M$56,'Input data'!$C$9:$BB$26,12,FALSE)-HLOOKUP($C$6,'Input data'!$C$9:$BB$26,12,FALSE))</f>
        <v>-4.2690000000003892E-2</v>
      </c>
      <c r="N64" s="1">
        <f>IF(N$56&lt;=$C$6,0,HLOOKUP(N$56,'Input data'!$C$9:$BB$26,12,FALSE)-HLOOKUP($C$6,'Input data'!$C$9:$BB$26,12,FALSE))</f>
        <v>-8.1360000000007204E-2</v>
      </c>
      <c r="O64" s="1">
        <f>IF(O$56&lt;=$C$6,0,HLOOKUP(O$56,'Input data'!$C$9:$BB$26,12,FALSE)-HLOOKUP($C$6,'Input data'!$C$9:$BB$26,12,FALSE))</f>
        <v>-0.13259000000000043</v>
      </c>
      <c r="P64" s="1">
        <f>IF(P$56&lt;=$C$6,0,HLOOKUP(P$56,'Input data'!$C$9:$BB$26,12,FALSE)-HLOOKUP($C$6,'Input data'!$C$9:$BB$26,12,FALSE))</f>
        <v>-0.17438000000000287</v>
      </c>
      <c r="Q64" s="1">
        <f>IF(Q$56&lt;=$C$6,0,HLOOKUP(Q$56,'Input data'!$C$9:$BB$26,12,FALSE)-HLOOKUP($C$6,'Input data'!$C$9:$BB$26,12,FALSE))</f>
        <v>-0.2015700000000038</v>
      </c>
      <c r="R64" s="1">
        <f>IF(R$56&lt;=$C$6,0,HLOOKUP(R$56,'Input data'!$C$9:$BB$26,12,FALSE)-HLOOKUP($C$6,'Input data'!$C$9:$BB$26,12,FALSE))</f>
        <v>-0.23198000000000363</v>
      </c>
      <c r="S64" s="1">
        <f>IF(S$56&lt;=$C$6,0,HLOOKUP(S$56,'Input data'!$C$9:$BB$26,12,FALSE)-HLOOKUP($C$6,'Input data'!$C$9:$BB$26,12,FALSE))</f>
        <v>-0.28930000000000433</v>
      </c>
      <c r="T64" s="1">
        <f>IF(T$56&lt;=$C$6,0,HLOOKUP(T$56,'Input data'!$C$9:$BB$26,12,FALSE)-HLOOKUP($C$6,'Input data'!$C$9:$BB$26,12,FALSE))</f>
        <v>-0.35374000000000549</v>
      </c>
      <c r="U64" s="1">
        <f>IF(U$56&lt;=$C$6,0,HLOOKUP(U$56,'Input data'!$C$9:$BB$26,12,FALSE)-HLOOKUP($C$6,'Input data'!$C$9:$BB$26,12,FALSE))</f>
        <v>-0.42875000000000441</v>
      </c>
      <c r="V64" s="1">
        <f>IF(V$56&lt;=$C$6,0,HLOOKUP(V$56,'Input data'!$C$9:$BB$26,12,FALSE)-HLOOKUP($C$6,'Input data'!$C$9:$BB$26,12,FALSE))</f>
        <v>-0.50428000000000495</v>
      </c>
      <c r="W64" s="1">
        <f>IF(W$56&lt;=$C$6,0,HLOOKUP(W$56,'Input data'!$C$9:$BB$26,12,FALSE)-HLOOKUP($C$6,'Input data'!$C$9:$BB$26,12,FALSE))</f>
        <v>-0.57463000000000619</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8.3939999999993464E-4</v>
      </c>
      <c r="L65" s="1">
        <f>IF(L$56&lt;=$C$6,0,-HLOOKUP(L$56,'Input data'!$C$9:$BB$26,18,FALSE)+HLOOKUP($C$6,'Input data'!$C$9:$BB$26,18,FALSE))</f>
        <v>1.6786999999999219E-3</v>
      </c>
      <c r="M65" s="1">
        <f>IF(M$56&lt;=$C$6,0,-HLOOKUP(M$56,'Input data'!$C$9:$BB$26,18,FALSE)+HLOOKUP($C$6,'Input data'!$C$9:$BB$26,18,FALSE))</f>
        <v>2.5180000000000202E-3</v>
      </c>
      <c r="N65" s="1">
        <f>IF(N$56&lt;=$C$6,0,-HLOOKUP(N$56,'Input data'!$C$9:$BB$26,18,FALSE)+HLOOKUP($C$6,'Input data'!$C$9:$BB$26,18,FALSE))</f>
        <v>3.3573000000000075E-3</v>
      </c>
      <c r="O65" s="1">
        <f>IF(O$56&lt;=$C$6,0,-HLOOKUP(O$56,'Input data'!$C$9:$BB$26,18,FALSE)+HLOOKUP($C$6,'Input data'!$C$9:$BB$26,18,FALSE))</f>
        <v>4.1966999999999421E-3</v>
      </c>
      <c r="P65" s="1">
        <f>IF(P$56&lt;=$C$6,0,-HLOOKUP(P$56,'Input data'!$C$9:$BB$26,18,FALSE)+HLOOKUP($C$6,'Input data'!$C$9:$BB$26,18,FALSE))</f>
        <v>5.0359999999999294E-3</v>
      </c>
      <c r="Q65" s="1">
        <f>IF(Q$56&lt;=$C$6,0,-HLOOKUP(Q$56,'Input data'!$C$9:$BB$26,18,FALSE)+HLOOKUP($C$6,'Input data'!$C$9:$BB$26,18,FALSE))</f>
        <v>5.8753000000000277E-3</v>
      </c>
      <c r="R65" s="1">
        <f>IF(R$56&lt;=$C$6,0,-HLOOKUP(R$56,'Input data'!$C$9:$BB$26,18,FALSE)+HLOOKUP($C$6,'Input data'!$C$9:$BB$26,18,FALSE))</f>
        <v>6.714600000000015E-3</v>
      </c>
      <c r="S65" s="1">
        <f>IF(S$56&lt;=$C$6,0,-HLOOKUP(S$56,'Input data'!$C$9:$BB$26,18,FALSE)+HLOOKUP($C$6,'Input data'!$C$9:$BB$26,18,FALSE))</f>
        <v>7.5539999999999496E-3</v>
      </c>
      <c r="T65" s="1">
        <f>IF(T$56&lt;=$C$6,0,-HLOOKUP(T$56,'Input data'!$C$9:$BB$26,18,FALSE)+HLOOKUP($C$6,'Input data'!$C$9:$BB$26,18,FALSE))</f>
        <v>8.3932999999999369E-3</v>
      </c>
      <c r="U65" s="189">
        <f>IF(U$56&lt;=$C$6,0,-HLOOKUP(U$56,'Input data'!$C$9:$BB$26,18,FALSE)+HLOOKUP($C$6,'Input data'!$C$9:$BB$26,18,FALSE))</f>
        <v>9.2325999999999242E-3</v>
      </c>
      <c r="V65" s="189">
        <f>IF(V$56&lt;=$C$6,0,-HLOOKUP(V$56,'Input data'!$C$9:$BB$26,18,FALSE)+HLOOKUP($C$6,'Input data'!$C$9:$BB$26,18,FALSE))</f>
        <v>1.0071900000000023E-2</v>
      </c>
      <c r="W65" s="189">
        <f>IF(W$56&lt;=$C$6,0,-HLOOKUP(W$56,'Input data'!$C$9:$BB$26,18,FALSE)+HLOOKUP($C$6,'Input data'!$C$9:$BB$26,18,FALSE))</f>
        <v>1.091120000000001E-2</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23">SUM(D68:D71)</f>
        <v>-9.3119859999999992</v>
      </c>
      <c r="E67" s="34">
        <f t="shared" si="23"/>
        <v>-5.5208849999999998</v>
      </c>
      <c r="F67" s="34">
        <f t="shared" si="23"/>
        <v>-3.568419</v>
      </c>
      <c r="G67" s="34">
        <f t="shared" si="23"/>
        <v>-1.1590673120923891</v>
      </c>
      <c r="H67" s="34">
        <f t="shared" si="23"/>
        <v>-0.67125078454147347</v>
      </c>
      <c r="I67" s="34">
        <f t="shared" si="23"/>
        <v>-0.58481410759418107</v>
      </c>
      <c r="J67" s="34">
        <f t="shared" si="23"/>
        <v>-0.55498500821341401</v>
      </c>
      <c r="K67" s="34">
        <f t="shared" si="23"/>
        <v>-0.72332920543937784</v>
      </c>
      <c r="L67" s="34">
        <f t="shared" si="23"/>
        <v>-0.61787474922744257</v>
      </c>
      <c r="M67" s="34">
        <f t="shared" si="23"/>
        <v>-0.50842388097828151</v>
      </c>
      <c r="N67" s="34">
        <f t="shared" si="23"/>
        <v>-0.39823543036507059</v>
      </c>
      <c r="O67" s="34">
        <f t="shared" si="23"/>
        <v>-0.32463804333100987</v>
      </c>
      <c r="P67" s="34">
        <f t="shared" ref="P67:T67" si="24">SUM(P68:P71)</f>
        <v>-0.2258775002158242</v>
      </c>
      <c r="Q67" s="34">
        <f t="shared" si="24"/>
        <v>-0.13620004146719422</v>
      </c>
      <c r="R67" s="34">
        <f t="shared" si="24"/>
        <v>-5.4092195756250572E-2</v>
      </c>
      <c r="S67" s="34">
        <f t="shared" si="24"/>
        <v>-5.2567191696435867E-2</v>
      </c>
      <c r="T67" s="34">
        <f t="shared" si="24"/>
        <v>-3.1086105371413542E-2</v>
      </c>
      <c r="U67" s="34">
        <f t="shared" ref="U67:W67" si="25">SUM(U68:U71)</f>
        <v>-3.1842130037169625E-2</v>
      </c>
      <c r="V67" s="34">
        <f t="shared" si="25"/>
        <v>-3.2343575063119134E-2</v>
      </c>
      <c r="W67" s="34">
        <f t="shared" si="25"/>
        <v>2.0510336039336607E-5</v>
      </c>
    </row>
    <row r="68" spans="2:23" outlineLevel="1" x14ac:dyDescent="0.2">
      <c r="B68" s="64" t="s">
        <v>87</v>
      </c>
      <c r="C68" s="23"/>
      <c r="D68" s="23">
        <f t="shared" ref="D68:E68" si="26">C57*D36/100*(1/(1+D33/100))</f>
        <v>1.3603259114140902</v>
      </c>
      <c r="E68" s="23">
        <f t="shared" si="26"/>
        <v>1.6914749590209448</v>
      </c>
      <c r="F68" s="23">
        <f>E57*F36/100*(1/(1+F33/100))</f>
        <v>1.6292561590832533</v>
      </c>
      <c r="G68" s="23">
        <f>F57*G36/100*(1/(1+G33/100))</f>
        <v>1.6001833700382948</v>
      </c>
      <c r="H68" s="23">
        <f t="shared" ref="H68:W68" si="27">G57*H36/100*(1/(1+H33/100))</f>
        <v>1.6566901887490073</v>
      </c>
      <c r="I68" s="23">
        <f t="shared" si="27"/>
        <v>1.7179740095105371</v>
      </c>
      <c r="J68" s="23">
        <f>I57*J36/100*(1/(1+J33/100))</f>
        <v>1.7767214522054608</v>
      </c>
      <c r="K68" s="23">
        <f t="shared" si="27"/>
        <v>1.8232301955739239</v>
      </c>
      <c r="L68" s="23">
        <f>K57*L36/100*(1/(1+L33/100))</f>
        <v>1.8730492351447048</v>
      </c>
      <c r="M68" s="23">
        <f t="shared" si="27"/>
        <v>1.9259728279424457</v>
      </c>
      <c r="N68" s="23">
        <f t="shared" si="27"/>
        <v>1.9819150293478298</v>
      </c>
      <c r="O68" s="23">
        <f t="shared" si="27"/>
        <v>2.0397414681649577</v>
      </c>
      <c r="P68" s="23">
        <f t="shared" si="27"/>
        <v>2.0892838544026087</v>
      </c>
      <c r="Q68" s="23">
        <f t="shared" si="27"/>
        <v>2.1320838523975092</v>
      </c>
      <c r="R68" s="23">
        <f t="shared" si="27"/>
        <v>2.169721517639549</v>
      </c>
      <c r="S68" s="23">
        <f t="shared" si="27"/>
        <v>2.2000976908719272</v>
      </c>
      <c r="T68" s="23">
        <f t="shared" si="27"/>
        <v>2.223712279441131</v>
      </c>
      <c r="U68" s="23">
        <f t="shared" si="27"/>
        <v>2.2401815341288693</v>
      </c>
      <c r="V68" s="23">
        <f t="shared" si="27"/>
        <v>2.2497393548937268</v>
      </c>
      <c r="W68" s="23">
        <f t="shared" si="27"/>
        <v>2.2542121349019366</v>
      </c>
    </row>
    <row r="69" spans="2:23" outlineLevel="1" x14ac:dyDescent="0.2">
      <c r="B69" s="64" t="s">
        <v>88</v>
      </c>
      <c r="C69" s="23"/>
      <c r="D69" s="23">
        <f t="shared" ref="D69:W69" si="28">-C57*(D24/100)*(1/(1+D33/100))</f>
        <v>-4.6896142044055606</v>
      </c>
      <c r="E69" s="23">
        <f t="shared" si="28"/>
        <v>-1.8550670815209325</v>
      </c>
      <c r="F69" s="23">
        <f t="shared" si="28"/>
        <v>-1.9069134131170997</v>
      </c>
      <c r="G69" s="23">
        <f t="shared" si="28"/>
        <v>-1.511247462840146</v>
      </c>
      <c r="H69" s="23">
        <f t="shared" si="28"/>
        <v>-1.0525814172132002</v>
      </c>
      <c r="I69" s="23">
        <f t="shared" si="28"/>
        <v>-0.9961107562940934</v>
      </c>
      <c r="J69" s="23">
        <f t="shared" si="28"/>
        <v>-0.99509521964902858</v>
      </c>
      <c r="K69" s="23">
        <f t="shared" si="28"/>
        <v>-1.184697412169581</v>
      </c>
      <c r="L69" s="23">
        <f t="shared" si="28"/>
        <v>-1.1085385487627841</v>
      </c>
      <c r="M69" s="23">
        <f t="shared" si="28"/>
        <v>-1.030164220919296</v>
      </c>
      <c r="N69" s="23">
        <f t="shared" si="28"/>
        <v>-0.9526454201907617</v>
      </c>
      <c r="O69" s="23">
        <f t="shared" si="28"/>
        <v>-0.91200741177414768</v>
      </c>
      <c r="P69" s="23">
        <f t="shared" si="28"/>
        <v>-0.88032760726650572</v>
      </c>
      <c r="Q69" s="23">
        <f t="shared" si="28"/>
        <v>-0.84954134557791083</v>
      </c>
      <c r="R69" s="23">
        <f t="shared" si="28"/>
        <v>-0.81962778095322042</v>
      </c>
      <c r="S69" s="23">
        <f t="shared" si="28"/>
        <v>-0.86180773146714351</v>
      </c>
      <c r="T69" s="23">
        <f t="shared" si="28"/>
        <v>-0.87861567627794923</v>
      </c>
      <c r="U69" s="23">
        <f t="shared" si="28"/>
        <v>-0.91151884411940254</v>
      </c>
      <c r="V69" s="23">
        <f t="shared" si="28"/>
        <v>-0.93898191878714021</v>
      </c>
      <c r="W69" s="23">
        <f t="shared" si="28"/>
        <v>-0.93016732094018417</v>
      </c>
    </row>
    <row r="70" spans="2:23" outlineLevel="1" x14ac:dyDescent="0.2">
      <c r="B70" s="64" t="s">
        <v>89</v>
      </c>
      <c r="C70" s="23"/>
      <c r="D70" s="23">
        <f t="shared" ref="D70:W70" si="29">-C57*D42/100*(1/(1+D42/100))</f>
        <v>-6.109357393135542</v>
      </c>
      <c r="E70" s="23">
        <f t="shared" si="29"/>
        <v>-5.3233348222517805</v>
      </c>
      <c r="F70" s="23">
        <f t="shared" si="29"/>
        <v>-3.3016517046855496</v>
      </c>
      <c r="G70" s="23">
        <f t="shared" si="29"/>
        <v>-1.2537493739329504</v>
      </c>
      <c r="H70" s="23">
        <f t="shared" si="29"/>
        <v>-1.2753595560772806</v>
      </c>
      <c r="I70" s="23">
        <f t="shared" si="29"/>
        <v>-1.3066773608106248</v>
      </c>
      <c r="J70" s="23">
        <f t="shared" si="29"/>
        <v>-1.3366112407698463</v>
      </c>
      <c r="K70" s="23">
        <f t="shared" si="29"/>
        <v>-1.3618619888437207</v>
      </c>
      <c r="L70" s="23">
        <f t="shared" si="29"/>
        <v>-1.3823854356093632</v>
      </c>
      <c r="M70" s="23">
        <f t="shared" si="29"/>
        <v>-1.4042324880014312</v>
      </c>
      <c r="N70" s="23">
        <f t="shared" si="29"/>
        <v>-1.4275050395221387</v>
      </c>
      <c r="O70" s="23">
        <f t="shared" si="29"/>
        <v>-1.4523720997218199</v>
      </c>
      <c r="P70" s="23">
        <f t="shared" si="29"/>
        <v>-1.434833747351927</v>
      </c>
      <c r="Q70" s="23">
        <f t="shared" si="29"/>
        <v>-1.4187425482867926</v>
      </c>
      <c r="R70" s="23">
        <f t="shared" si="29"/>
        <v>-1.4041859324425792</v>
      </c>
      <c r="S70" s="23">
        <f t="shared" si="29"/>
        <v>-1.3908571511012195</v>
      </c>
      <c r="T70" s="23">
        <f t="shared" si="29"/>
        <v>-1.3761827085345955</v>
      </c>
      <c r="U70" s="23">
        <f t="shared" si="29"/>
        <v>-1.3605048200466365</v>
      </c>
      <c r="V70" s="23">
        <f t="shared" si="29"/>
        <v>-1.3431010111697057</v>
      </c>
      <c r="W70" s="23">
        <f t="shared" si="29"/>
        <v>-1.3240243036257131</v>
      </c>
    </row>
    <row r="71" spans="2:23" outlineLevel="1" x14ac:dyDescent="0.2">
      <c r="B71" s="64" t="s">
        <v>90</v>
      </c>
      <c r="C71" s="35"/>
      <c r="D71" s="35">
        <f>'Baseline NFPC'!D70</f>
        <v>0.12665968612701306</v>
      </c>
      <c r="E71" s="35">
        <f>'Baseline NFPC'!E70</f>
        <v>-3.3958055248231922E-2</v>
      </c>
      <c r="F71" s="35">
        <f>'Baseline NFPC'!F70</f>
        <v>1.088995871939602E-2</v>
      </c>
      <c r="G71" s="35">
        <f>'Baseline NFPC'!G70</f>
        <v>5.7461546424124599E-3</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1.052092</v>
      </c>
      <c r="E72" s="36">
        <f>'Input data'!E16</f>
        <v>1.7555499999999999</v>
      </c>
      <c r="F72" s="36">
        <f>'Input data'!F16</f>
        <v>-0.91088740000000001</v>
      </c>
      <c r="G72" s="36">
        <f>'Input data'!G16</f>
        <v>3.8232000000000001E-3</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30">D15</f>
        <v>-5.1615739999999999</v>
      </c>
      <c r="E73" s="23">
        <f t="shared" si="30"/>
        <v>2.9723419999999998</v>
      </c>
      <c r="F73" s="23">
        <f t="shared" si="30"/>
        <v>-1.2972429999999999</v>
      </c>
      <c r="G73" s="23">
        <f t="shared" si="30"/>
        <v>-0.2</v>
      </c>
      <c r="H73" s="23">
        <f t="shared" si="30"/>
        <v>0</v>
      </c>
      <c r="I73" s="23">
        <f t="shared" si="30"/>
        <v>0</v>
      </c>
      <c r="J73" s="23">
        <f t="shared" si="30"/>
        <v>0</v>
      </c>
      <c r="K73" s="23">
        <f t="shared" si="30"/>
        <v>0</v>
      </c>
      <c r="L73" s="23">
        <f t="shared" si="30"/>
        <v>0</v>
      </c>
      <c r="M73" s="23">
        <f t="shared" si="30"/>
        <v>0</v>
      </c>
      <c r="N73" s="23">
        <f t="shared" si="30"/>
        <v>0</v>
      </c>
      <c r="O73" s="23">
        <f t="shared" si="30"/>
        <v>0</v>
      </c>
      <c r="P73" s="23">
        <f t="shared" si="30"/>
        <v>0</v>
      </c>
      <c r="Q73" s="23">
        <f t="shared" si="30"/>
        <v>0</v>
      </c>
      <c r="R73" s="23">
        <f t="shared" si="30"/>
        <v>0</v>
      </c>
      <c r="S73" s="23">
        <f t="shared" si="30"/>
        <v>0</v>
      </c>
      <c r="T73" s="23">
        <f t="shared" si="30"/>
        <v>0</v>
      </c>
      <c r="U73" s="23">
        <f t="shared" si="30"/>
        <v>0</v>
      </c>
      <c r="V73" s="23">
        <f t="shared" si="30"/>
        <v>0</v>
      </c>
      <c r="W73" s="23">
        <f t="shared" si="30"/>
        <v>0</v>
      </c>
    </row>
    <row r="74" spans="2:23" outlineLevel="1" x14ac:dyDescent="0.2">
      <c r="B74" s="70" t="s">
        <v>93</v>
      </c>
      <c r="C74" s="35"/>
      <c r="D74" s="35">
        <f>+D72-D73</f>
        <v>6.2136659999999999</v>
      </c>
      <c r="E74" s="35">
        <f t="shared" ref="E74:T74" si="31">+E72-E73</f>
        <v>-1.2167919999999999</v>
      </c>
      <c r="F74" s="35">
        <f t="shared" si="31"/>
        <v>0.38635559999999991</v>
      </c>
      <c r="G74" s="35">
        <f t="shared" si="31"/>
        <v>0.20382320000000001</v>
      </c>
      <c r="H74" s="35">
        <f t="shared" si="31"/>
        <v>0</v>
      </c>
      <c r="I74" s="35">
        <f t="shared" si="31"/>
        <v>0</v>
      </c>
      <c r="J74" s="35">
        <f t="shared" si="31"/>
        <v>0</v>
      </c>
      <c r="K74" s="35">
        <f t="shared" si="31"/>
        <v>0</v>
      </c>
      <c r="L74" s="35">
        <f t="shared" si="31"/>
        <v>0</v>
      </c>
      <c r="M74" s="35">
        <f t="shared" si="31"/>
        <v>0</v>
      </c>
      <c r="N74" s="35">
        <f t="shared" si="31"/>
        <v>0</v>
      </c>
      <c r="O74" s="35">
        <f t="shared" si="31"/>
        <v>0</v>
      </c>
      <c r="P74" s="35">
        <f t="shared" si="31"/>
        <v>0</v>
      </c>
      <c r="Q74" s="35">
        <f t="shared" si="31"/>
        <v>0</v>
      </c>
      <c r="R74" s="35">
        <f t="shared" si="31"/>
        <v>0</v>
      </c>
      <c r="S74" s="35">
        <f t="shared" si="31"/>
        <v>0</v>
      </c>
      <c r="T74" s="35">
        <f t="shared" si="31"/>
        <v>0</v>
      </c>
      <c r="U74" s="35">
        <f t="shared" ref="U74:W74" si="32">+U72-U73</f>
        <v>0</v>
      </c>
      <c r="V74" s="35">
        <f t="shared" si="32"/>
        <v>0</v>
      </c>
      <c r="W74" s="35">
        <f t="shared" si="32"/>
        <v>0</v>
      </c>
    </row>
    <row r="75" spans="2:23" ht="10.5" customHeight="1" outlineLevel="1" x14ac:dyDescent="0.2"/>
    <row r="76" spans="2:23" ht="10.5" customHeight="1" outlineLevel="1" x14ac:dyDescent="0.2">
      <c r="B76" s="71" t="s">
        <v>94</v>
      </c>
    </row>
    <row r="77" spans="2:23" x14ac:dyDescent="0.2">
      <c r="B77" s="62" t="s">
        <v>19</v>
      </c>
      <c r="C77" s="62"/>
      <c r="D77" s="63">
        <f>D59-D68</f>
        <v>0.12943162840271571</v>
      </c>
      <c r="E77" s="63">
        <f t="shared" ref="E77:T77" si="33">E59-E68</f>
        <v>-0.69110970262048821</v>
      </c>
      <c r="F77" s="63">
        <f t="shared" si="33"/>
        <v>-2.6152547775931434</v>
      </c>
      <c r="G77" s="63">
        <f>G59-G68</f>
        <v>-2.440361362062899</v>
      </c>
      <c r="H77" s="63">
        <f t="shared" si="33"/>
        <v>-2.4687043025960715</v>
      </c>
      <c r="I77" s="63">
        <f t="shared" si="33"/>
        <v>-2.3772846182426912</v>
      </c>
      <c r="J77" s="63">
        <f t="shared" si="33"/>
        <v>-2.2004157701363041</v>
      </c>
      <c r="K77" s="63">
        <f t="shared" si="33"/>
        <v>-2.2201141408611473</v>
      </c>
      <c r="L77" s="63">
        <f t="shared" si="33"/>
        <v>-2.2339227077883086</v>
      </c>
      <c r="M77" s="63">
        <f t="shared" si="33"/>
        <v>-2.2469458279424419</v>
      </c>
      <c r="N77" s="63">
        <f t="shared" si="33"/>
        <v>-2.2650551513051207</v>
      </c>
      <c r="O77" s="63">
        <f t="shared" si="33"/>
        <v>-2.27248968240283</v>
      </c>
      <c r="P77" s="63">
        <f t="shared" si="33"/>
        <v>-2.2810818047844021</v>
      </c>
      <c r="Q77" s="63">
        <f t="shared" si="33"/>
        <v>-2.2975297936344679</v>
      </c>
      <c r="R77" s="63">
        <f t="shared" si="33"/>
        <v>-2.3055958856373557</v>
      </c>
      <c r="S77" s="63">
        <f t="shared" si="33"/>
        <v>-2.2794910225673033</v>
      </c>
      <c r="T77" s="63">
        <f t="shared" si="33"/>
        <v>-2.2395049111364962</v>
      </c>
      <c r="U77" s="63">
        <f t="shared" ref="U77:W77" si="34">U59-U68</f>
        <v>-2.1818034658242356</v>
      </c>
      <c r="V77" s="63">
        <f t="shared" si="34"/>
        <v>-2.1166727650824471</v>
      </c>
      <c r="W77" s="63">
        <f t="shared" si="34"/>
        <v>-2.0516348450906556</v>
      </c>
    </row>
    <row r="78" spans="2:23" x14ac:dyDescent="0.2">
      <c r="B78" s="15" t="s">
        <v>20</v>
      </c>
      <c r="D78" s="23">
        <f>D60-D68-D64-D65-D66</f>
        <v>-1.1601272114140901</v>
      </c>
      <c r="E78" s="23">
        <f t="shared" ref="E78:W78" si="35">E60-E68-E64-E65-E66</f>
        <v>-1.8104429590209448</v>
      </c>
      <c r="F78" s="23">
        <f t="shared" si="35"/>
        <v>-3.5904011590832532</v>
      </c>
      <c r="G78" s="23">
        <f t="shared" si="35"/>
        <v>-3.1613283700382944</v>
      </c>
      <c r="H78" s="23">
        <f t="shared" si="35"/>
        <v>-2.8178351887490072</v>
      </c>
      <c r="I78" s="23">
        <f t="shared" si="35"/>
        <v>-2.4791190095105371</v>
      </c>
      <c r="J78" s="23">
        <f t="shared" si="35"/>
        <v>-2.1378664522054605</v>
      </c>
      <c r="K78" s="23">
        <f t="shared" si="35"/>
        <v>-2.1784145955739214</v>
      </c>
      <c r="L78" s="23">
        <f t="shared" si="35"/>
        <v>-2.2130729351447007</v>
      </c>
      <c r="M78" s="23">
        <f t="shared" si="35"/>
        <v>-2.2469458279424419</v>
      </c>
      <c r="N78" s="23">
        <f t="shared" si="35"/>
        <v>-2.2650573293478224</v>
      </c>
      <c r="O78" s="23">
        <f t="shared" si="35"/>
        <v>-2.2724931681649569</v>
      </c>
      <c r="P78" s="23">
        <f t="shared" si="35"/>
        <v>-2.2810848544026059</v>
      </c>
      <c r="Q78" s="23">
        <f t="shared" si="35"/>
        <v>-2.2975341523975055</v>
      </c>
      <c r="R78" s="23">
        <f t="shared" si="35"/>
        <v>-2.305601117639545</v>
      </c>
      <c r="S78" s="23">
        <f t="shared" si="35"/>
        <v>-2.2794966908719223</v>
      </c>
      <c r="T78" s="23">
        <f t="shared" si="35"/>
        <v>-2.2395105794411254</v>
      </c>
      <c r="U78" s="23">
        <f t="shared" si="35"/>
        <v>-2.1818091341288648</v>
      </c>
      <c r="V78" s="23">
        <f t="shared" si="35"/>
        <v>-2.1166762548937212</v>
      </c>
      <c r="W78" s="23">
        <f t="shared" si="35"/>
        <v>-2.0516383349019298</v>
      </c>
    </row>
    <row r="79" spans="2:23" x14ac:dyDescent="0.2">
      <c r="B79" s="24" t="s">
        <v>95</v>
      </c>
      <c r="C79" s="24"/>
      <c r="D79" s="239">
        <f>'Input data'!D45</f>
        <v>13.332508026209865</v>
      </c>
      <c r="E79" s="239">
        <f>'Input data'!E45</f>
        <v>17.321552756469458</v>
      </c>
      <c r="F79" s="239">
        <f>'Input data'!F45</f>
        <v>14.354198279852639</v>
      </c>
      <c r="G79" s="35">
        <f>'Input data'!G33+G42-(G$12-F$12)/'Input data'!$C$64*100</f>
        <v>4.5358175265341591</v>
      </c>
      <c r="H79" s="35">
        <f>'Input data'!H33+H42-(H$12-G$12)/'Input data'!$C$64*100</f>
        <v>4.0421627765341599</v>
      </c>
      <c r="I79" s="35">
        <f>'Input data'!I33+I42-(I$12-H$12)/'Input data'!$C$64*100</f>
        <v>3.7060670265341593</v>
      </c>
      <c r="J79" s="35">
        <f>'Input data'!J33+J42-(J$12-I$12)/'Input data'!$C$64*100</f>
        <v>3.5640932765341584</v>
      </c>
      <c r="K79" s="35">
        <f>'Input data'!K33+K42-(K$12-J$12)/'Input data'!$C$64*100</f>
        <v>4.390352</v>
      </c>
      <c r="L79" s="35">
        <f>'Input data'!L33+L42-(L$12-K$12)/'Input data'!$C$64*100</f>
        <v>4.3153982500000003</v>
      </c>
      <c r="M79" s="35">
        <f>'Input data'!M33+M42-(M$12-L$12)/'Input data'!$C$64*100</f>
        <v>4.2330125000000001</v>
      </c>
      <c r="N79" s="35">
        <f>'Input data'!N33+N42-(N$12-M$12)/'Input data'!$C$64*100</f>
        <v>4.1970077499999991</v>
      </c>
      <c r="O79" s="35">
        <f>'Input data'!O33+O42-(O$12-N$12)/'Input data'!$C$64*100</f>
        <v>4.1773100000000003</v>
      </c>
      <c r="P79" s="35">
        <f>'Input data'!P33+P42-(P$12-O$12)/'Input data'!$C$64*100</f>
        <v>4.0944839999999996</v>
      </c>
      <c r="Q79" s="35">
        <f>'Input data'!Q33+Q42-(Q$12-P$12)/'Input data'!$C$64*100</f>
        <v>4.0116589999999999</v>
      </c>
      <c r="R79" s="35">
        <f>'Input data'!R33+R42-(R$12-Q$12)/'Input data'!$C$64*100</f>
        <v>3.928833</v>
      </c>
      <c r="S79" s="35">
        <f>'Input data'!S33+S42-(S$12-R$12)/'Input data'!$C$64*100</f>
        <v>3.9750889999999997</v>
      </c>
      <c r="T79" s="35">
        <f>'Input data'!T33+T42-(T$12-S$12)/'Input data'!$C$64*100</f>
        <v>3.9768409999999994</v>
      </c>
      <c r="U79" s="35">
        <f>'Input data'!U33+U42-(U$12-T$12)/'Input data'!$C$64*100</f>
        <v>4.008864</v>
      </c>
      <c r="V79" s="35">
        <f>'Input data'!V33+V42-(V$12-U$12)/'Input data'!$C$64*100</f>
        <v>4.0332879999999998</v>
      </c>
      <c r="W79" s="35">
        <f>'Input data'!W33+W42-(W$12-V$12)/'Input data'!$C$64*100</f>
        <v>3.9941360000000001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3.9620351515341592</v>
      </c>
      <c r="E81" s="23"/>
      <c r="F81" s="23"/>
      <c r="G81" s="303"/>
      <c r="H81" s="303"/>
      <c r="I81" s="303"/>
      <c r="J81" s="303"/>
      <c r="K81" s="303"/>
      <c r="L81" s="303"/>
      <c r="M81" s="303"/>
      <c r="N81" s="303"/>
      <c r="O81" s="303"/>
      <c r="P81" s="303"/>
      <c r="Q81" s="303"/>
      <c r="R81" s="303"/>
      <c r="S81" s="303"/>
      <c r="T81" s="303"/>
      <c r="U81" s="23"/>
      <c r="V81" s="23"/>
      <c r="W81" s="23"/>
    </row>
    <row r="82" spans="2:23" x14ac:dyDescent="0.2">
      <c r="B82" s="62"/>
      <c r="C82" s="62"/>
      <c r="D82" s="63"/>
      <c r="E82" s="23"/>
      <c r="F82" s="23"/>
      <c r="G82" s="23"/>
      <c r="H82" s="23"/>
      <c r="I82" s="23"/>
      <c r="J82" s="23"/>
      <c r="K82" s="23"/>
      <c r="L82" s="23"/>
      <c r="M82" s="23"/>
      <c r="N82" s="23"/>
      <c r="O82" s="23"/>
      <c r="P82" s="23"/>
      <c r="Q82" s="23"/>
      <c r="R82" s="23"/>
      <c r="S82" s="23"/>
      <c r="T82" s="23"/>
      <c r="U82" s="23"/>
      <c r="V82" s="23"/>
      <c r="W82" s="23"/>
    </row>
    <row r="83" spans="2:23" s="72" customFormat="1" ht="12.75" outlineLevel="1" x14ac:dyDescent="0.2">
      <c r="B83" s="73" t="s">
        <v>96</v>
      </c>
      <c r="C83" s="74"/>
      <c r="E83" s="75"/>
      <c r="F83" s="74"/>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97</v>
      </c>
      <c r="D85" s="18">
        <f t="shared" ref="D85:W85" si="36">IF((D90-C90*D43/((1+D24/100)*(1+D42/100)))&gt;0,1,0)</f>
        <v>0</v>
      </c>
      <c r="E85" s="18">
        <f t="shared" si="36"/>
        <v>1</v>
      </c>
      <c r="F85" s="18">
        <f t="shared" si="36"/>
        <v>1</v>
      </c>
      <c r="G85" s="18">
        <f t="shared" si="36"/>
        <v>1</v>
      </c>
      <c r="H85" s="18">
        <f t="shared" si="36"/>
        <v>1</v>
      </c>
      <c r="I85" s="18">
        <f t="shared" si="36"/>
        <v>1</v>
      </c>
      <c r="J85" s="18">
        <f t="shared" si="36"/>
        <v>1</v>
      </c>
      <c r="K85" s="18">
        <f t="shared" si="36"/>
        <v>1</v>
      </c>
      <c r="L85" s="18">
        <f t="shared" si="36"/>
        <v>1</v>
      </c>
      <c r="M85" s="18">
        <f t="shared" si="36"/>
        <v>1</v>
      </c>
      <c r="N85" s="18">
        <f t="shared" si="36"/>
        <v>1</v>
      </c>
      <c r="O85" s="18">
        <f t="shared" si="36"/>
        <v>1</v>
      </c>
      <c r="P85" s="18">
        <f t="shared" si="36"/>
        <v>1</v>
      </c>
      <c r="Q85" s="18">
        <f t="shared" si="36"/>
        <v>1</v>
      </c>
      <c r="R85" s="18">
        <f t="shared" si="36"/>
        <v>1</v>
      </c>
      <c r="S85" s="18">
        <f t="shared" si="36"/>
        <v>1</v>
      </c>
      <c r="T85" s="18">
        <f t="shared" si="36"/>
        <v>1</v>
      </c>
      <c r="U85" s="18">
        <f t="shared" si="36"/>
        <v>1</v>
      </c>
      <c r="V85" s="18">
        <f t="shared" si="36"/>
        <v>1</v>
      </c>
      <c r="W85" s="18">
        <f t="shared" si="36"/>
        <v>1</v>
      </c>
    </row>
    <row r="86" spans="2:23" x14ac:dyDescent="0.2">
      <c r="B86" s="15" t="s">
        <v>98</v>
      </c>
      <c r="D86" s="18">
        <f t="shared" ref="D86:W86" si="37">IF(AND(D85=0,ABS(D90-C90*D43/((1+D24/100)*(1+D42/100)))&lt;((C96*C90*D43/((1+D24/100)*(1+D42/100))+(D39*C90*C97*D43/((1+D24/100)*(1+D42/100)))))),1,0)</f>
        <v>0</v>
      </c>
      <c r="E86" s="18">
        <f t="shared" si="37"/>
        <v>0</v>
      </c>
      <c r="F86" s="18">
        <f t="shared" si="37"/>
        <v>0</v>
      </c>
      <c r="G86" s="18">
        <f t="shared" si="37"/>
        <v>0</v>
      </c>
      <c r="H86" s="18">
        <f t="shared" si="37"/>
        <v>0</v>
      </c>
      <c r="I86" s="18">
        <f t="shared" si="37"/>
        <v>0</v>
      </c>
      <c r="J86" s="18">
        <f t="shared" si="37"/>
        <v>0</v>
      </c>
      <c r="K86" s="18">
        <f t="shared" si="37"/>
        <v>0</v>
      </c>
      <c r="L86" s="18">
        <f t="shared" si="37"/>
        <v>0</v>
      </c>
      <c r="M86" s="18">
        <f t="shared" si="37"/>
        <v>0</v>
      </c>
      <c r="N86" s="18">
        <f t="shared" si="37"/>
        <v>0</v>
      </c>
      <c r="O86" s="18">
        <f t="shared" si="37"/>
        <v>0</v>
      </c>
      <c r="P86" s="18">
        <f t="shared" si="37"/>
        <v>0</v>
      </c>
      <c r="Q86" s="18">
        <f t="shared" si="37"/>
        <v>0</v>
      </c>
      <c r="R86" s="18">
        <f t="shared" si="37"/>
        <v>0</v>
      </c>
      <c r="S86" s="18">
        <f t="shared" si="37"/>
        <v>0</v>
      </c>
      <c r="T86" s="18">
        <f t="shared" si="37"/>
        <v>0</v>
      </c>
      <c r="U86" s="18">
        <f t="shared" si="37"/>
        <v>0</v>
      </c>
      <c r="V86" s="18">
        <f t="shared" si="37"/>
        <v>0</v>
      </c>
      <c r="W86" s="18">
        <f t="shared" si="37"/>
        <v>0</v>
      </c>
    </row>
    <row r="88" spans="2:23" x14ac:dyDescent="0.2">
      <c r="H88" s="27"/>
      <c r="I88" s="27"/>
      <c r="J88" s="27"/>
      <c r="K88" s="27"/>
      <c r="L88" s="27"/>
      <c r="M88" s="27"/>
      <c r="N88" s="27"/>
      <c r="O88" s="27"/>
      <c r="P88" s="27"/>
      <c r="Q88" s="27"/>
      <c r="R88" s="27"/>
      <c r="S88" s="27"/>
      <c r="T88" s="27"/>
    </row>
    <row r="89" spans="2:23" x14ac:dyDescent="0.2">
      <c r="B89" s="37"/>
      <c r="C89" s="67">
        <v>2021</v>
      </c>
      <c r="D89" s="67">
        <v>2022</v>
      </c>
      <c r="E89" s="67">
        <v>2023</v>
      </c>
      <c r="F89" s="67">
        <v>2024</v>
      </c>
      <c r="G89" s="67">
        <v>2025</v>
      </c>
      <c r="H89" s="67">
        <v>2026</v>
      </c>
      <c r="I89" s="67">
        <v>2027</v>
      </c>
      <c r="J89" s="67">
        <v>2028</v>
      </c>
      <c r="K89" s="67">
        <v>2029</v>
      </c>
      <c r="L89" s="67">
        <v>2030</v>
      </c>
      <c r="M89" s="67">
        <v>2031</v>
      </c>
      <c r="N89" s="67">
        <v>2032</v>
      </c>
      <c r="O89" s="67">
        <v>2033</v>
      </c>
      <c r="P89" s="67">
        <v>2034</v>
      </c>
      <c r="Q89" s="67">
        <v>2035</v>
      </c>
      <c r="R89" s="67">
        <v>2036</v>
      </c>
      <c r="S89" s="67">
        <v>2037</v>
      </c>
      <c r="T89" s="67">
        <v>2038</v>
      </c>
      <c r="U89" s="67">
        <v>2039</v>
      </c>
      <c r="V89" s="67">
        <v>2040</v>
      </c>
      <c r="W89" s="67">
        <v>2041</v>
      </c>
    </row>
    <row r="90" spans="2:23" x14ac:dyDescent="0.2">
      <c r="B90" s="84" t="s">
        <v>76</v>
      </c>
      <c r="C90" s="88">
        <f>C57</f>
        <v>77.53389</v>
      </c>
      <c r="D90" s="88">
        <f>D57</f>
        <v>67.78423846018319</v>
      </c>
      <c r="E90" s="88">
        <f>E57</f>
        <v>63.018538203782732</v>
      </c>
      <c r="F90" s="88">
        <f>F57</f>
        <v>59.525230422292623</v>
      </c>
      <c r="G90" s="88">
        <f>G57</f>
        <v>59.21016430222484</v>
      </c>
      <c r="H90" s="88">
        <f t="shared" ref="H90:W90" si="38">G90*(1+H103/100)*H43-H60-H61+H62+H63+H64+H65+H66+H72</f>
        <v>59.350927631530439</v>
      </c>
      <c r="I90" s="88">
        <f t="shared" si="38"/>
        <v>59.425424132668397</v>
      </c>
      <c r="J90" s="88">
        <f t="shared" si="38"/>
        <v>59.294133442385821</v>
      </c>
      <c r="K90" s="88">
        <f t="shared" si="38"/>
        <v>58.967688182233665</v>
      </c>
      <c r="L90" s="88">
        <f t="shared" si="38"/>
        <v>58.710686905649823</v>
      </c>
      <c r="M90" s="88">
        <f t="shared" si="38"/>
        <v>58.523236024671554</v>
      </c>
      <c r="N90" s="88">
        <f t="shared" si="38"/>
        <v>58.408140716263766</v>
      </c>
      <c r="O90" s="88">
        <f t="shared" si="38"/>
        <v>58.316250887170625</v>
      </c>
      <c r="P90" s="88">
        <f t="shared" si="38"/>
        <v>58.282171337336585</v>
      </c>
      <c r="Q90" s="88">
        <f t="shared" si="38"/>
        <v>58.311417237106355</v>
      </c>
      <c r="R90" s="88">
        <f t="shared" si="38"/>
        <v>58.393199409347922</v>
      </c>
      <c r="S90" s="88">
        <f t="shared" si="38"/>
        <v>58.42002554934686</v>
      </c>
      <c r="T90" s="88">
        <f t="shared" si="38"/>
        <v>58.404732075670815</v>
      </c>
      <c r="U90" s="88">
        <f t="shared" si="38"/>
        <v>58.314511877329018</v>
      </c>
      <c r="V90" s="88">
        <f t="shared" si="38"/>
        <v>58.149101712454623</v>
      </c>
      <c r="W90" s="88">
        <f t="shared" si="38"/>
        <v>57.946544932979371</v>
      </c>
    </row>
    <row r="91" spans="2:23" x14ac:dyDescent="0.2">
      <c r="B91" s="15" t="s">
        <v>99</v>
      </c>
      <c r="C91" s="23"/>
      <c r="D91" s="181">
        <f>'Input data'!C66*$D$90</f>
        <v>61.563247683738361</v>
      </c>
      <c r="E91" s="23">
        <f t="shared" ref="E91:W91" si="39">IF(E90=0,0,IF(E85=1,D90*E43/((1+E24/100)*(1+E42/100))-E92-E93,IF(AND(E85=0,E86=1),(1-D96-E39*D97)*D90*E43/((1+E24/100)*(1+E42/100)),E90)))</f>
        <v>51.500562711347804</v>
      </c>
      <c r="F91" s="23">
        <f t="shared" si="39"/>
        <v>50.728502658383945</v>
      </c>
      <c r="G91" s="23">
        <f t="shared" si="39"/>
        <v>49.581383184810562</v>
      </c>
      <c r="H91" s="23">
        <f t="shared" si="39"/>
        <v>49.427447767295</v>
      </c>
      <c r="I91" s="23">
        <f t="shared" si="39"/>
        <v>49.48798981989713</v>
      </c>
      <c r="J91" s="23">
        <f t="shared" si="39"/>
        <v>49.445731255786562</v>
      </c>
      <c r="K91" s="23">
        <f t="shared" si="39"/>
        <v>49.067066006753514</v>
      </c>
      <c r="L91" s="23">
        <f t="shared" si="39"/>
        <v>48.754883534318047</v>
      </c>
      <c r="M91" s="23">
        <f t="shared" si="39"/>
        <v>48.504625119249397</v>
      </c>
      <c r="N91" s="23">
        <f t="shared" si="39"/>
        <v>48.313375287278753</v>
      </c>
      <c r="O91" s="23">
        <f t="shared" si="39"/>
        <v>48.152139719570222</v>
      </c>
      <c r="P91" s="23">
        <f t="shared" si="39"/>
        <v>48.099170340148994</v>
      </c>
      <c r="Q91" s="23">
        <f t="shared" si="39"/>
        <v>48.094419434494981</v>
      </c>
      <c r="R91" s="23">
        <f t="shared" si="39"/>
        <v>48.142464931647417</v>
      </c>
      <c r="S91" s="23">
        <f t="shared" si="39"/>
        <v>48.17320574830336</v>
      </c>
      <c r="T91" s="23">
        <f t="shared" si="39"/>
        <v>48.180442029893086</v>
      </c>
      <c r="U91" s="23">
        <f t="shared" si="39"/>
        <v>48.139378067347756</v>
      </c>
      <c r="V91" s="23">
        <f t="shared" si="39"/>
        <v>48.041044379980626</v>
      </c>
      <c r="W91" s="23">
        <f t="shared" si="39"/>
        <v>47.91161595533741</v>
      </c>
    </row>
    <row r="92" spans="2:23" x14ac:dyDescent="0.2">
      <c r="B92" s="83" t="s">
        <v>100</v>
      </c>
      <c r="C92" s="23"/>
      <c r="D92" s="181">
        <f>'Input data'!C67*$D$90</f>
        <v>3.9125294883246755</v>
      </c>
      <c r="E92" s="23">
        <f t="shared" ref="E92:W92" si="40">IF(E90=0,0,IF(E85=1,E39*D90*D97*E43/((1+E24/100)*(1+E42/100)),IF(AND(E85=0,E86=1),(E39*D90*D97*E43/((1+E24/100)*(1+E42/100)))*(1-ABS(E90-D90*E43/((1+E24/100)*(1+E42/100)))/((E39*D90*D97*E43/((1+E24/100)*(1+E42/100)))+(D96*D90*E43/((1+E24/100)*(1+E42/100))))),0)))</f>
        <v>5.8659240545129414</v>
      </c>
      <c r="F92" s="23">
        <f t="shared" si="40"/>
        <v>5.4441538848406834</v>
      </c>
      <c r="G92" s="23">
        <f t="shared" si="40"/>
        <v>5.3874929541105185</v>
      </c>
      <c r="H92" s="23">
        <f t="shared" si="40"/>
        <v>5.4371679045921519</v>
      </c>
      <c r="I92" s="23">
        <f t="shared" si="40"/>
        <v>5.5104718719873178</v>
      </c>
      <c r="J92" s="23">
        <f t="shared" si="40"/>
        <v>5.5725154111011932</v>
      </c>
      <c r="K92" s="23">
        <f t="shared" si="40"/>
        <v>5.5962389312518006</v>
      </c>
      <c r="L92" s="23">
        <f t="shared" si="40"/>
        <v>5.6267707992872529</v>
      </c>
      <c r="M92" s="23">
        <f t="shared" si="40"/>
        <v>5.6638467518909339</v>
      </c>
      <c r="N92" s="23">
        <f t="shared" si="40"/>
        <v>5.7073730980304997</v>
      </c>
      <c r="O92" s="23">
        <f t="shared" si="40"/>
        <v>5.7541250447390251</v>
      </c>
      <c r="P92" s="23">
        <f t="shared" si="40"/>
        <v>5.7477952651174542</v>
      </c>
      <c r="Q92" s="23">
        <f t="shared" si="40"/>
        <v>5.74722753738265</v>
      </c>
      <c r="R92" s="23">
        <f t="shared" si="40"/>
        <v>5.7529689187638686</v>
      </c>
      <c r="S92" s="23">
        <f t="shared" si="40"/>
        <v>5.7566424108256093</v>
      </c>
      <c r="T92" s="23">
        <f t="shared" si="40"/>
        <v>5.7575071381122616</v>
      </c>
      <c r="U92" s="23">
        <f t="shared" si="40"/>
        <v>5.752600042047697</v>
      </c>
      <c r="V92" s="23">
        <f t="shared" si="40"/>
        <v>5.7408492800563087</v>
      </c>
      <c r="W92" s="23">
        <f t="shared" si="40"/>
        <v>5.7253827328981162</v>
      </c>
    </row>
    <row r="93" spans="2:23" x14ac:dyDescent="0.2">
      <c r="B93" s="83" t="s">
        <v>101</v>
      </c>
      <c r="C93" s="23"/>
      <c r="D93" s="181">
        <f>'Input data'!C68*$D$90</f>
        <v>2.3084542881192829</v>
      </c>
      <c r="E93" s="23">
        <f t="shared" ref="E93:W93" si="41">IF(E90=0,0,IF(E85=1,(1-D97)*D90*E43/((1+E24/100)*(1+E42/100)),IF(AND(E85=0,E86=1),(D96*D90*E43/((1+E24/100)*(1+E42/100)))*(1-ABS(E90-D90*E43/((1+E24/100)*(1+E42/100)))/((E39*D90*D97*E43/((1+E24/100)*(1+E42/100)))+(D96*D90*E43/((1+E24/100)*(1+E42/100))))),0)))</f>
        <v>2.0225542888393648</v>
      </c>
      <c r="F93" s="23">
        <f t="shared" si="41"/>
        <v>2.0236605928890654</v>
      </c>
      <c r="G93" s="23">
        <f t="shared" si="41"/>
        <v>1.9957510477398974</v>
      </c>
      <c r="H93" s="23">
        <f t="shared" si="41"/>
        <v>2.0176076570472063</v>
      </c>
      <c r="I93" s="23">
        <f t="shared" si="41"/>
        <v>2.0496778225412604</v>
      </c>
      <c r="J93" s="23">
        <f t="shared" si="41"/>
        <v>2.0754710053617713</v>
      </c>
      <c r="K93" s="23">
        <f t="shared" si="41"/>
        <v>2.0842691033671996</v>
      </c>
      <c r="L93" s="23">
        <f t="shared" si="41"/>
        <v>2.0951098642562211</v>
      </c>
      <c r="M93" s="23">
        <f t="shared" si="41"/>
        <v>2.1078183255887701</v>
      </c>
      <c r="N93" s="23">
        <f t="shared" si="41"/>
        <v>2.1223371796494024</v>
      </c>
      <c r="O93" s="23">
        <f t="shared" si="41"/>
        <v>2.1374964404585395</v>
      </c>
      <c r="P93" s="23">
        <f t="shared" si="41"/>
        <v>2.1541239272857355</v>
      </c>
      <c r="Q93" s="23">
        <f t="shared" si="41"/>
        <v>2.1722404715942472</v>
      </c>
      <c r="R93" s="23">
        <f t="shared" si="41"/>
        <v>2.1921696732992673</v>
      </c>
      <c r="S93" s="23">
        <f t="shared" si="41"/>
        <v>2.2106863676505917</v>
      </c>
      <c r="T93" s="23">
        <f t="shared" si="41"/>
        <v>2.2272779965289753</v>
      </c>
      <c r="U93" s="23">
        <f t="shared" si="41"/>
        <v>2.2407303021093292</v>
      </c>
      <c r="V93" s="23">
        <f t="shared" si="41"/>
        <v>2.2505352873352384</v>
      </c>
      <c r="W93" s="23">
        <f t="shared" si="41"/>
        <v>2.2579113996531879</v>
      </c>
    </row>
    <row r="94" spans="2:23" x14ac:dyDescent="0.2">
      <c r="B94" s="83" t="s">
        <v>102</v>
      </c>
      <c r="C94" s="23"/>
      <c r="D94" s="181">
        <f>'Input data'!C69*$D$90</f>
        <v>0</v>
      </c>
      <c r="E94" s="23">
        <f>IF(E90=0,0,IF(E85=1,'Input data'!$C$58*(E90-D90*E43/((1+E24/100)*(1+E42/100))),0))</f>
        <v>3.4607077471142449</v>
      </c>
      <c r="F94" s="23">
        <f>IF(F90=0,0,IF(F85=1,'Input data'!$C$58*(F90-E90*F43/((1+F24/100)*(1+F42/100))),0))</f>
        <v>1.2671123066965087</v>
      </c>
      <c r="G94" s="23">
        <f>IF(G90=0,0,IF(G85=1,'Input data'!$C$58*(G90-F90*G43/((1+G24/100)*(1+G42/100))),0))</f>
        <v>2.1411086365582772</v>
      </c>
      <c r="H94" s="23">
        <f>IF(H90=0,0,IF(H85=1,'Input data'!$C$58*(H90-G90*H43/((1+H24/100)*(1+H42/100))),0))</f>
        <v>2.35389745587428</v>
      </c>
      <c r="I94" s="23">
        <f>IF(I90=0,0,IF(I85=1,'Input data'!$C$58*(I90-H90*I43/((1+I24/100)*(1+I42/100))),0))</f>
        <v>2.2667292347997692</v>
      </c>
      <c r="J94" s="23">
        <f>IF(J90=0,0,IF(J85=1,'Input data'!$C$58*(J90-I90*J43/((1+J24/100)*(1+J42/100))),0))</f>
        <v>2.0980856547876843</v>
      </c>
      <c r="K94" s="23">
        <f>IF(K90=0,0,IF(K85=1,'Input data'!$C$58*(K90-J90*K43/((1+K24/100)*(1+K42/100))),0))</f>
        <v>2.1168679547518154</v>
      </c>
      <c r="L94" s="23">
        <f>IF(L90=0,0,IF(L85=1,'Input data'!$C$58*(L90-K90*L43/((1+L24/100)*(1+L42/100))),0))</f>
        <v>2.1300343556548782</v>
      </c>
      <c r="M94" s="23">
        <f>IF(M90=0,0,IF(M85=1,'Input data'!$C$58*(M90-L90*M43/((1+M24/100)*(1+M42/100))),0))</f>
        <v>2.1424518369085734</v>
      </c>
      <c r="N94" s="23">
        <f>IF(N90=0,0,IF(N85=1,'Input data'!$C$58*(N90-M90*N43/((1+N24/100)*(1+N42/100))),0))</f>
        <v>2.1597189879991836</v>
      </c>
      <c r="O94" s="23">
        <f>IF(O90=0,0,IF(O85=1,'Input data'!$C$58*(O90-N90*O43/((1+O24/100)*(1+O42/100))),0))</f>
        <v>2.1668077769716594</v>
      </c>
      <c r="P94" s="23">
        <f>IF(P90=0,0,IF(P85=1,'Input data'!$C$58*(P90-O90*P43/((1+P24/100)*(1+P42/100))),0))</f>
        <v>2.1750003235610817</v>
      </c>
      <c r="Q94" s="23">
        <f>IF(Q90=0,0,IF(Q85=1,'Input data'!$C$58*(Q90-P90*Q43/((1+Q24/100)*(1+Q42/100))),0))</f>
        <v>2.1906834003344828</v>
      </c>
      <c r="R94" s="23">
        <f>IF(R90=0,0,IF(R85=1,'Input data'!$C$58*(R90-Q90*R43/((1+R24/100)*(1+R42/100))),0))</f>
        <v>2.1983743795353892</v>
      </c>
      <c r="S94" s="23">
        <f>IF(S90=0,0,IF(S85=1,'Input data'!$C$58*(S90-R90*S43/((1+S24/100)*(1+S42/100))),0))</f>
        <v>2.1734835205119092</v>
      </c>
      <c r="T94" s="23">
        <f>IF(T90=0,0,IF(T85=1,'Input data'!$C$58*(T90-S90*T43/((1+T24/100)*(1+T42/100))),0))</f>
        <v>2.1353569591945813</v>
      </c>
      <c r="U94" s="23">
        <f>IF(U90=0,0,IF(U85=1,'Input data'!$C$58*(U90-T90*U43/((1+U24/100)*(1+U42/100))),0))</f>
        <v>2.0803389138264285</v>
      </c>
      <c r="V94" s="23">
        <f>IF(V90=0,0,IF(V85=1,'Input data'!$C$58*(V90-U90*V43/((1+V24/100)*(1+V42/100))),0))</f>
        <v>2.0182371098095659</v>
      </c>
      <c r="W94" s="23">
        <f>IF(W90=0,0,IF(W85=1,'Input data'!$C$58*(W90-V90*W43/((1+W24/100)*(1+W42/100))),0))</f>
        <v>1.9562237717831972</v>
      </c>
    </row>
    <row r="95" spans="2:23" x14ac:dyDescent="0.2">
      <c r="B95" s="85" t="s">
        <v>103</v>
      </c>
      <c r="C95" s="35"/>
      <c r="D95" s="182">
        <f>'Input data'!C70*$D$90</f>
        <v>0</v>
      </c>
      <c r="E95" s="35">
        <f>IF(E90=0,0,IF(E85=1,'Input data'!$C$57*(E90-D90*E43/((1+E24/100)*(1+E42/100))),0))</f>
        <v>0.16878940196837219</v>
      </c>
      <c r="F95" s="35">
        <f>IF(F90=0,0,IF(F85=1,'Input data'!$C$57*(F90-E90*F43/((1+F24/100)*(1+F42/100))),0))</f>
        <v>6.180097948242258E-2</v>
      </c>
      <c r="G95" s="35">
        <f>IF(G90=0,0,IF(G85=1,'Input data'!$C$57*(G90-F90*G43/((1+G24/100)*(1+G42/100))),0))</f>
        <v>0.1044284790055859</v>
      </c>
      <c r="H95" s="35">
        <f>IF(H90=0,0,IF(H85=1,'Input data'!$C$57*(H90-G90*H43/((1+H24/100)*(1+H42/100))),0))</f>
        <v>0.11480684672180047</v>
      </c>
      <c r="I95" s="35">
        <f>IF(I90=0,0,IF(I85=1,'Input data'!$C$57*(I90-H90*I43/((1+I24/100)*(1+I42/100))),0))</f>
        <v>0.11055538344291416</v>
      </c>
      <c r="J95" s="35">
        <f>IF(J90=0,0,IF(J85=1,'Input data'!$C$57*(J90-I90*J43/((1+J24/100)*(1+J42/100))),0))</f>
        <v>0.10233011534861142</v>
      </c>
      <c r="K95" s="35">
        <f>IF(K90=0,0,IF(K85=1,'Input data'!$C$57*(K90-J90*K43/((1+K24/100)*(1+K42/100))),0))</f>
        <v>0.10324618610933366</v>
      </c>
      <c r="L95" s="35">
        <f>IF(L90=0,0,IF(L85=1,'Input data'!$C$57*(L90-K90*L43/((1+L24/100)*(1+L42/100))),0))</f>
        <v>0.10388835213342423</v>
      </c>
      <c r="M95" s="35">
        <f>IF(M90=0,0,IF(M85=1,'Input data'!$C$57*(M90-L90*M43/((1+M24/100)*(1+M42/100))),0))</f>
        <v>0.10449399103388105</v>
      </c>
      <c r="N95" s="35">
        <f>IF(N90=0,0,IF(N85=1,'Input data'!$C$57*(N90-M90*N43/((1+N24/100)*(1+N42/100))),0))</f>
        <v>0.10533616330592914</v>
      </c>
      <c r="O95" s="35">
        <f>IF(O90=0,0,IF(O85=1,'Input data'!$C$57*(O90-N90*O43/((1+O24/100)*(1+O42/100))),0))</f>
        <v>0.1056819054311756</v>
      </c>
      <c r="P95" s="35">
        <f>IF(P90=0,0,IF(P85=1,'Input data'!$C$57*(P90-O90*P43/((1+P24/100)*(1+P42/100))),0))</f>
        <v>0.10608148122331802</v>
      </c>
      <c r="Q95" s="35">
        <f>IF(Q90=0,0,IF(Q85=1,'Input data'!$C$57*(Q90-P90*Q43/((1+Q24/100)*(1+Q42/100))),0))</f>
        <v>0.10684639329999188</v>
      </c>
      <c r="R95" s="35">
        <f>IF(R90=0,0,IF(R85=1,'Input data'!$C$57*(R90-Q90*R43/((1+R24/100)*(1+R42/100))),0))</f>
        <v>0.10722150610197717</v>
      </c>
      <c r="S95" s="35">
        <f>IF(S90=0,0,IF(S85=1,'Input data'!$C$57*(S90-R90*S43/((1+S24/100)*(1+S42/100))),0))</f>
        <v>0.10600750205539</v>
      </c>
      <c r="T95" s="35">
        <f>IF(T90=0,0,IF(T85=1,'Input data'!$C$57*(T90-S90*T43/((1+T24/100)*(1+T42/100))),0))</f>
        <v>0.10414795194191148</v>
      </c>
      <c r="U95" s="35">
        <f>IF(U90=0,0,IF(U85=1,'Input data'!$C$57*(U90-T90*U43/((1+U24/100)*(1+U42/100))),0))</f>
        <v>0.10146455199780963</v>
      </c>
      <c r="V95" s="35">
        <f>IF(V90=0,0,IF(V85=1,'Input data'!$C$57*(V90-U90*V43/((1+V24/100)*(1+V42/100))),0))</f>
        <v>9.8435655272882755E-2</v>
      </c>
      <c r="W95" s="35">
        <f>IF(W90=0,0,IF(W85=1,'Input data'!$C$57*(W90-V90*W43/((1+W24/100)*(1+W42/100))),0))</f>
        <v>9.5411073307456337E-2</v>
      </c>
    </row>
    <row r="96" spans="2:23" x14ac:dyDescent="0.2">
      <c r="B96" s="15" t="s">
        <v>51</v>
      </c>
      <c r="C96" s="25"/>
      <c r="D96" s="186">
        <f>'Baseline NFPC'!$D$93</f>
        <v>3.4056018634422758E-2</v>
      </c>
      <c r="E96" s="25">
        <f t="shared" ref="E96:G96" si="42">IF(E90&lt;&gt;0,(E93+E95)/(E91+E92+E93+E94+E95),0)</f>
        <v>3.4773000981419153E-2</v>
      </c>
      <c r="F96" s="25">
        <f t="shared" si="42"/>
        <v>3.5034918093999813E-2</v>
      </c>
      <c r="G96" s="25">
        <f t="shared" si="42"/>
        <v>3.5469915537230973E-2</v>
      </c>
      <c r="H96" s="25">
        <f t="shared" ref="H96:W96" si="43">IF(H90&lt;&gt;0,(H93+H95)/(H91+H92+H93+H94+H95),0)</f>
        <v>3.5928916174785316E-2</v>
      </c>
      <c r="I96" s="25">
        <f t="shared" si="43"/>
        <v>3.6352003162172013E-2</v>
      </c>
      <c r="J96" s="25">
        <f t="shared" si="43"/>
        <v>3.6728778957980407E-2</v>
      </c>
      <c r="K96" s="25">
        <f t="shared" si="43"/>
        <v>3.7096846712325555E-2</v>
      </c>
      <c r="L96" s="25">
        <f t="shared" si="43"/>
        <v>3.7454820106661575E-2</v>
      </c>
      <c r="M96" s="25">
        <f t="shared" si="43"/>
        <v>3.7802289601518435E-2</v>
      </c>
      <c r="N96" s="25">
        <f t="shared" si="43"/>
        <v>3.8139774963510099E-2</v>
      </c>
      <c r="O96" s="25">
        <f t="shared" si="43"/>
        <v>3.8465750314261138E-2</v>
      </c>
      <c r="P96" s="25">
        <f t="shared" si="43"/>
        <v>3.8780391269690503E-2</v>
      </c>
      <c r="Q96" s="25">
        <f t="shared" si="43"/>
        <v>3.9084744855831535E-2</v>
      </c>
      <c r="R96" s="25">
        <f t="shared" si="43"/>
        <v>3.937772210907739E-2</v>
      </c>
      <c r="S96" s="25">
        <f t="shared" si="43"/>
        <v>3.9655817468773474E-2</v>
      </c>
      <c r="T96" s="25">
        <f t="shared" si="43"/>
        <v>3.991844266060883E-2</v>
      </c>
      <c r="U96" s="25">
        <f>IF(U90&lt;&gt;0,(U93+U95)/(U91+U92+U93+U94+U95),0)</f>
        <v>4.0164871122203731E-2</v>
      </c>
      <c r="V96" s="25">
        <f t="shared" si="43"/>
        <v>4.0395653130184277E-2</v>
      </c>
      <c r="W96" s="23">
        <f t="shared" si="43"/>
        <v>4.0611954960946904E-2</v>
      </c>
    </row>
    <row r="97" spans="2:25" x14ac:dyDescent="0.2">
      <c r="B97" s="24" t="s">
        <v>52</v>
      </c>
      <c r="C97" s="86"/>
      <c r="D97" s="187">
        <f>'Baseline NFPC'!$D$94</f>
        <v>0.96594398136557724</v>
      </c>
      <c r="E97" s="86">
        <f t="shared" ref="E97:G97" si="44">IF(E90&lt;&gt;0,(E91+E92+E94)/(E91+E92+E93+E94+E95),1)</f>
        <v>0.96522699901858078</v>
      </c>
      <c r="F97" s="86">
        <f t="shared" si="44"/>
        <v>0.96496508190600028</v>
      </c>
      <c r="G97" s="86">
        <f t="shared" si="44"/>
        <v>0.96453008446276911</v>
      </c>
      <c r="H97" s="86">
        <f t="shared" ref="H97:W97" si="45">IF(H90&lt;&gt;0,(H91+H92+H94)/(H91+H92+H93+H94+H95),1)</f>
        <v>0.96407108382521467</v>
      </c>
      <c r="I97" s="86">
        <f t="shared" si="45"/>
        <v>0.96364799683782798</v>
      </c>
      <c r="J97" s="86">
        <f t="shared" si="45"/>
        <v>0.96327122104201957</v>
      </c>
      <c r="K97" s="86">
        <f t="shared" si="45"/>
        <v>0.96290315328767451</v>
      </c>
      <c r="L97" s="86">
        <f t="shared" si="45"/>
        <v>0.96254517989333843</v>
      </c>
      <c r="M97" s="86">
        <f t="shared" si="45"/>
        <v>0.96219771039848145</v>
      </c>
      <c r="N97" s="86">
        <f t="shared" si="45"/>
        <v>0.96186022503648994</v>
      </c>
      <c r="O97" s="86">
        <f t="shared" si="45"/>
        <v>0.96153424968573886</v>
      </c>
      <c r="P97" s="86">
        <f t="shared" si="45"/>
        <v>0.96121960873030943</v>
      </c>
      <c r="Q97" s="86">
        <f t="shared" si="45"/>
        <v>0.96091525514416842</v>
      </c>
      <c r="R97" s="86">
        <f t="shared" si="45"/>
        <v>0.96062227789092258</v>
      </c>
      <c r="S97" s="86">
        <f t="shared" si="45"/>
        <v>0.96034418253122644</v>
      </c>
      <c r="T97" s="86">
        <f t="shared" si="45"/>
        <v>0.96008155733939116</v>
      </c>
      <c r="U97" s="86">
        <f t="shared" si="45"/>
        <v>0.95983512887779632</v>
      </c>
      <c r="V97" s="86">
        <f t="shared" si="45"/>
        <v>0.95960434686981577</v>
      </c>
      <c r="W97" s="35">
        <f t="shared" si="45"/>
        <v>0.95938804503905317</v>
      </c>
    </row>
    <row r="98" spans="2:25" x14ac:dyDescent="0.2">
      <c r="C98" s="27"/>
      <c r="D98" s="27"/>
      <c r="E98" s="27"/>
      <c r="F98" s="27"/>
      <c r="G98" s="27"/>
      <c r="H98" s="27"/>
      <c r="I98" s="27"/>
      <c r="J98" s="27"/>
      <c r="K98" s="27"/>
      <c r="L98" s="27"/>
      <c r="M98" s="27"/>
      <c r="N98" s="27"/>
      <c r="O98" s="27"/>
      <c r="P98" s="27"/>
      <c r="Q98" s="27"/>
      <c r="R98" s="27"/>
      <c r="S98" s="27"/>
      <c r="T98" s="27"/>
      <c r="U98" s="27"/>
      <c r="V98" s="27"/>
      <c r="W98" s="27"/>
    </row>
    <row r="99" spans="2:25" x14ac:dyDescent="0.2">
      <c r="B99" s="90" t="s">
        <v>104</v>
      </c>
      <c r="C99" s="92">
        <f>'Baseline NFPC'!C96</f>
        <v>2.0416150000000002</v>
      </c>
      <c r="D99" s="92">
        <f>'Baseline NFPC'!D96</f>
        <v>2.038402</v>
      </c>
      <c r="E99" s="92">
        <f>'Baseline NFPC'!E96</f>
        <v>2.7909440000000001</v>
      </c>
      <c r="F99" s="92">
        <f>'Baseline NFPC'!F96</f>
        <v>2.8182960000000001</v>
      </c>
      <c r="G99" s="92">
        <f>'Baseline NFPC'!G96</f>
        <v>2.8191980000000001</v>
      </c>
      <c r="H99" s="92">
        <f>H101</f>
        <v>2.9124919734040993</v>
      </c>
      <c r="I99" s="92">
        <f t="shared" ref="I99:V99" si="46">I101</f>
        <v>3.0114461648238589</v>
      </c>
      <c r="J99" s="92">
        <f t="shared" si="46"/>
        <v>3.1119386241492526</v>
      </c>
      <c r="K99" s="92">
        <f t="shared" si="46"/>
        <v>3.2128777773736634</v>
      </c>
      <c r="L99" s="92">
        <f t="shared" si="46"/>
        <v>3.3164953087302176</v>
      </c>
      <c r="M99" s="92">
        <f t="shared" si="46"/>
        <v>3.4223521508075292</v>
      </c>
      <c r="N99" s="92">
        <f t="shared" si="46"/>
        <v>3.5301141884243519</v>
      </c>
      <c r="O99" s="92">
        <f t="shared" si="46"/>
        <v>3.6395513511527686</v>
      </c>
      <c r="P99" s="92">
        <f t="shared" si="46"/>
        <v>3.7307914396703907</v>
      </c>
      <c r="Q99" s="92">
        <f t="shared" si="46"/>
        <v>3.8063486569275624</v>
      </c>
      <c r="R99" s="92">
        <f t="shared" si="46"/>
        <v>3.8684511038563403</v>
      </c>
      <c r="S99" s="92">
        <f t="shared" si="46"/>
        <v>3.9189111920950088</v>
      </c>
      <c r="T99" s="92">
        <f t="shared" si="46"/>
        <v>3.9592331264446479</v>
      </c>
      <c r="U99" s="92">
        <f t="shared" si="46"/>
        <v>3.9908666400100672</v>
      </c>
      <c r="V99" s="92">
        <f t="shared" si="46"/>
        <v>4.0150666268756066</v>
      </c>
      <c r="W99" s="92">
        <f>W101</f>
        <v>4.0329470632610942</v>
      </c>
    </row>
    <row r="100" spans="2:25" x14ac:dyDescent="0.2">
      <c r="B100" s="22" t="s">
        <v>105</v>
      </c>
      <c r="C100" s="23"/>
      <c r="D100" s="23"/>
      <c r="E100" s="191">
        <f>((E36*D90)-(E38*(D93+D95)))/(D91+D92+D94)</f>
        <v>2.7684133468233108</v>
      </c>
      <c r="F100" s="191">
        <f>((F36*E90)-(F38*(E93+E95)))/(E91+E92+E94)</f>
        <v>2.7914239805326373</v>
      </c>
      <c r="G100" s="191">
        <f>((G36*F90)-(G38*(F93+F95)))/(F91+F92+F94)</f>
        <v>2.8193004944587465</v>
      </c>
      <c r="H100" s="23">
        <f t="shared" ref="H100:W100" si="47">IF(G90&gt;0,(G100*G91+H37*(G94+G92))/(G91+G92+G94),H37)</f>
        <v>2.916441628428073</v>
      </c>
      <c r="I100" s="23">
        <f t="shared" si="47"/>
        <v>3.0195572431556119</v>
      </c>
      <c r="J100" s="23">
        <f t="shared" si="47"/>
        <v>3.1243654595352588</v>
      </c>
      <c r="K100" s="23">
        <f t="shared" si="47"/>
        <v>3.2297173666982006</v>
      </c>
      <c r="L100" s="23">
        <f t="shared" si="47"/>
        <v>3.3379369167087378</v>
      </c>
      <c r="M100" s="23">
        <f t="shared" si="47"/>
        <v>3.4485669945617072</v>
      </c>
      <c r="N100" s="23">
        <f t="shared" si="47"/>
        <v>3.5612588611137603</v>
      </c>
      <c r="O100" s="23">
        <f t="shared" si="47"/>
        <v>3.6757720092733477</v>
      </c>
      <c r="P100" s="23">
        <f t="shared" si="47"/>
        <v>3.7724364196220792</v>
      </c>
      <c r="Q100" s="23">
        <f t="shared" si="47"/>
        <v>3.8528610859414472</v>
      </c>
      <c r="R100" s="23">
        <f t="shared" si="47"/>
        <v>3.9193460692286708</v>
      </c>
      <c r="S100" s="23">
        <f t="shared" si="47"/>
        <v>3.9737599465847051</v>
      </c>
      <c r="T100" s="23">
        <f t="shared" si="47"/>
        <v>4.0176493931145538</v>
      </c>
      <c r="U100" s="23">
        <f t="shared" si="47"/>
        <v>4.052510599254699</v>
      </c>
      <c r="V100" s="23">
        <f t="shared" si="47"/>
        <v>4.0796389030706308</v>
      </c>
      <c r="W100" s="23">
        <f t="shared" si="47"/>
        <v>4.100186959309104</v>
      </c>
    </row>
    <row r="101" spans="2:25" x14ac:dyDescent="0.2">
      <c r="B101" s="24" t="s">
        <v>41</v>
      </c>
      <c r="C101" s="35"/>
      <c r="D101" s="35"/>
      <c r="E101" s="35">
        <f t="shared" ref="E101:W101" si="48">(E100*(D91+D92+D94)+E38*(D93+D95))/D90</f>
        <v>2.7909440000000001</v>
      </c>
      <c r="F101" s="35">
        <f t="shared" si="48"/>
        <v>2.8182960000000001</v>
      </c>
      <c r="G101" s="35">
        <f t="shared" si="48"/>
        <v>2.8191980000000001</v>
      </c>
      <c r="H101" s="35">
        <f t="shared" si="48"/>
        <v>2.9124919734040993</v>
      </c>
      <c r="I101" s="35">
        <f t="shared" si="48"/>
        <v>3.0114461648238589</v>
      </c>
      <c r="J101" s="35">
        <f t="shared" si="48"/>
        <v>3.1119386241492526</v>
      </c>
      <c r="K101" s="35">
        <f t="shared" si="48"/>
        <v>3.2128777773736634</v>
      </c>
      <c r="L101" s="35">
        <f t="shared" si="48"/>
        <v>3.3164953087302176</v>
      </c>
      <c r="M101" s="35">
        <f t="shared" si="48"/>
        <v>3.4223521508075292</v>
      </c>
      <c r="N101" s="35">
        <f t="shared" si="48"/>
        <v>3.5301141884243519</v>
      </c>
      <c r="O101" s="35">
        <f t="shared" si="48"/>
        <v>3.6395513511527686</v>
      </c>
      <c r="P101" s="35">
        <f t="shared" si="48"/>
        <v>3.7307914396703907</v>
      </c>
      <c r="Q101" s="35">
        <f t="shared" si="48"/>
        <v>3.8063486569275624</v>
      </c>
      <c r="R101" s="35">
        <f t="shared" si="48"/>
        <v>3.8684511038563403</v>
      </c>
      <c r="S101" s="35">
        <f t="shared" si="48"/>
        <v>3.9189111920950088</v>
      </c>
      <c r="T101" s="35">
        <f t="shared" si="48"/>
        <v>3.9592331264446479</v>
      </c>
      <c r="U101" s="35">
        <f t="shared" si="48"/>
        <v>3.9908666400100672</v>
      </c>
      <c r="V101" s="35">
        <f t="shared" si="48"/>
        <v>4.0150666268756066</v>
      </c>
      <c r="W101" s="35">
        <f t="shared" si="48"/>
        <v>4.0329470632610942</v>
      </c>
    </row>
    <row r="102" spans="2:25" x14ac:dyDescent="0.2">
      <c r="C102" s="27"/>
      <c r="D102" s="27"/>
      <c r="E102" s="27"/>
      <c r="F102" s="27"/>
      <c r="G102" s="23"/>
      <c r="H102" s="23"/>
      <c r="I102" s="23"/>
      <c r="J102" s="23"/>
      <c r="K102" s="23"/>
      <c r="L102" s="23"/>
      <c r="M102" s="23"/>
      <c r="N102" s="23"/>
      <c r="O102" s="23"/>
      <c r="P102" s="23"/>
      <c r="Q102" s="23"/>
      <c r="R102" s="23"/>
      <c r="S102" s="23"/>
      <c r="T102" s="23"/>
      <c r="U102" s="23"/>
      <c r="V102" s="23"/>
      <c r="W102" s="23"/>
    </row>
    <row r="103" spans="2:25" x14ac:dyDescent="0.2">
      <c r="B103" s="90" t="s">
        <v>138</v>
      </c>
      <c r="C103" s="92">
        <f t="shared" ref="C103:W103" si="49">((1+C99/100)/((1+C24/100)*(1+C42/100))-1)*100</f>
        <v>-11.617016162437588</v>
      </c>
      <c r="D103" s="92">
        <f t="shared" si="49"/>
        <v>-12.173574273297783</v>
      </c>
      <c r="E103" s="92">
        <f t="shared" si="49"/>
        <v>-8.0946943852955204</v>
      </c>
      <c r="F103" s="92">
        <f t="shared" si="49"/>
        <v>-5.6797714779498687</v>
      </c>
      <c r="G103" s="92">
        <f t="shared" si="49"/>
        <v>-1.9568399122039781</v>
      </c>
      <c r="H103" s="92">
        <f t="shared" si="49"/>
        <v>-1.133674922966299</v>
      </c>
      <c r="I103" s="92">
        <f t="shared" si="49"/>
        <v>-0.9853495655955169</v>
      </c>
      <c r="J103" s="92">
        <f t="shared" si="49"/>
        <v>-0.93391846387903543</v>
      </c>
      <c r="K103" s="92">
        <f t="shared" si="49"/>
        <v>-1.21990012071298</v>
      </c>
      <c r="L103" s="92">
        <f t="shared" si="49"/>
        <v>-1.047819184157206</v>
      </c>
      <c r="M103" s="92">
        <f t="shared" si="49"/>
        <v>-0.86598183018251618</v>
      </c>
      <c r="N103" s="92">
        <f t="shared" si="49"/>
        <v>-0.68047404315987325</v>
      </c>
      <c r="O103" s="92">
        <f t="shared" si="49"/>
        <v>-0.55580958296215233</v>
      </c>
      <c r="P103" s="92">
        <f t="shared" si="49"/>
        <v>-0.38733199885030434</v>
      </c>
      <c r="Q103" s="92">
        <f t="shared" si="49"/>
        <v>-0.23369074683039504</v>
      </c>
      <c r="R103" s="92">
        <f t="shared" si="49"/>
        <v>-9.2764330416283958E-2</v>
      </c>
      <c r="S103" s="92">
        <f t="shared" si="49"/>
        <v>-9.0022797565747492E-2</v>
      </c>
      <c r="T103" s="92">
        <f t="shared" si="49"/>
        <v>-5.3211386128471094E-2</v>
      </c>
      <c r="U103" s="92">
        <f t="shared" si="49"/>
        <v>-5.4519777602790587E-2</v>
      </c>
      <c r="V103" s="92">
        <f t="shared" si="49"/>
        <v>-5.5464024342954943E-2</v>
      </c>
      <c r="W103" s="92">
        <f t="shared" si="49"/>
        <v>3.5271973986006344E-5</v>
      </c>
    </row>
    <row r="104" spans="2:25" x14ac:dyDescent="0.2">
      <c r="F104" s="23"/>
      <c r="G104" s="23"/>
      <c r="H104" s="23"/>
      <c r="I104" s="23"/>
      <c r="J104" s="23"/>
      <c r="K104" s="23"/>
      <c r="L104" s="23"/>
      <c r="M104" s="23"/>
      <c r="N104" s="23"/>
      <c r="O104" s="23"/>
      <c r="P104" s="23"/>
      <c r="Q104" s="23"/>
      <c r="R104" s="23"/>
      <c r="S104" s="23"/>
      <c r="T104" s="23"/>
      <c r="U104" s="23"/>
      <c r="V104" s="23"/>
      <c r="W104" s="23"/>
    </row>
    <row r="105" spans="2:25" x14ac:dyDescent="0.2">
      <c r="F105" s="23"/>
      <c r="G105" s="23"/>
      <c r="H105" s="180"/>
      <c r="I105" s="180"/>
      <c r="J105" s="180"/>
      <c r="K105" s="180"/>
      <c r="L105" s="180"/>
      <c r="M105" s="180"/>
      <c r="N105" s="180"/>
      <c r="O105" s="180"/>
      <c r="P105" s="180"/>
      <c r="Q105" s="180"/>
      <c r="R105" s="180"/>
      <c r="S105" s="180"/>
      <c r="T105" s="180"/>
      <c r="U105" s="23"/>
      <c r="V105" s="23"/>
      <c r="W105" s="23"/>
    </row>
    <row r="106" spans="2:25" x14ac:dyDescent="0.2">
      <c r="T106" s="47"/>
      <c r="U106" s="47"/>
      <c r="V106" s="47"/>
      <c r="W106" s="47"/>
      <c r="X106" s="47"/>
      <c r="Y106" s="47"/>
    </row>
    <row r="107" spans="2:25" x14ac:dyDescent="0.2">
      <c r="T107" s="47"/>
      <c r="U107" s="93"/>
      <c r="V107" s="93"/>
      <c r="W107" s="93"/>
      <c r="X107" s="93"/>
      <c r="Y107" s="47"/>
    </row>
    <row r="108" spans="2:25" x14ac:dyDescent="0.2">
      <c r="H108" s="98"/>
      <c r="I108" s="98"/>
      <c r="J108" s="98"/>
      <c r="K108" s="98"/>
      <c r="L108" s="98"/>
      <c r="M108" s="98"/>
      <c r="N108" s="98"/>
      <c r="O108" s="98"/>
      <c r="P108" s="98"/>
      <c r="Q108" s="98"/>
      <c r="R108" s="98"/>
      <c r="S108" s="98"/>
      <c r="T108" s="98"/>
      <c r="U108" s="98"/>
      <c r="V108" s="98"/>
      <c r="W108" s="98"/>
    </row>
    <row r="109" spans="2:25" x14ac:dyDescent="0.2">
      <c r="E109" s="23"/>
      <c r="F109" s="23"/>
      <c r="G109" s="98"/>
      <c r="H109" s="98"/>
      <c r="I109" s="98"/>
      <c r="J109" s="98"/>
      <c r="K109" s="98"/>
      <c r="L109" s="98"/>
      <c r="M109" s="98"/>
      <c r="N109" s="98"/>
      <c r="O109" s="98"/>
      <c r="P109" s="98"/>
      <c r="Q109" s="98"/>
      <c r="R109" s="98"/>
      <c r="S109" s="98"/>
      <c r="T109" s="98"/>
      <c r="U109" s="98"/>
      <c r="V109" s="98"/>
      <c r="W109" s="98"/>
    </row>
    <row r="110" spans="2:25" x14ac:dyDescent="0.2">
      <c r="E110" s="23"/>
      <c r="F110" s="23"/>
      <c r="G110" s="98"/>
      <c r="H110" s="98"/>
      <c r="I110" s="98"/>
      <c r="J110" s="98"/>
      <c r="K110" s="98"/>
      <c r="L110" s="98"/>
      <c r="M110" s="98"/>
      <c r="N110" s="98"/>
      <c r="O110" s="98"/>
      <c r="P110" s="98"/>
      <c r="Q110" s="98"/>
      <c r="R110" s="98"/>
      <c r="S110" s="98"/>
      <c r="T110" s="98"/>
      <c r="U110" s="98"/>
      <c r="V110" s="98"/>
      <c r="W110" s="98"/>
    </row>
    <row r="113" spans="5:24" x14ac:dyDescent="0.2">
      <c r="E113" s="23"/>
      <c r="F113" s="23"/>
      <c r="G113" s="98"/>
      <c r="H113" s="98"/>
      <c r="I113" s="98"/>
      <c r="J113" s="98"/>
      <c r="K113" s="98"/>
      <c r="L113" s="98"/>
      <c r="M113" s="98"/>
      <c r="N113" s="98"/>
      <c r="O113" s="98"/>
      <c r="P113" s="98"/>
      <c r="Q113" s="98"/>
      <c r="R113" s="98"/>
      <c r="S113" s="98"/>
      <c r="T113" s="98"/>
      <c r="U113" s="98"/>
      <c r="V113" s="98"/>
      <c r="W113" s="98"/>
    </row>
    <row r="114" spans="5:24" x14ac:dyDescent="0.2">
      <c r="E114" s="23"/>
      <c r="F114" s="23"/>
      <c r="G114" s="98"/>
      <c r="H114" s="98"/>
      <c r="I114" s="98"/>
      <c r="J114" s="98"/>
      <c r="K114" s="98"/>
      <c r="L114" s="98"/>
      <c r="M114" s="98"/>
      <c r="N114" s="98"/>
      <c r="O114" s="98"/>
      <c r="P114" s="98"/>
      <c r="Q114" s="98"/>
      <c r="R114" s="98"/>
      <c r="S114" s="98"/>
      <c r="T114" s="98"/>
      <c r="U114" s="98"/>
      <c r="V114" s="98"/>
      <c r="W114" s="98"/>
      <c r="X114" s="38"/>
    </row>
    <row r="115" spans="5:24" x14ac:dyDescent="0.2">
      <c r="G115" s="38"/>
      <c r="H115" s="38"/>
      <c r="I115" s="38"/>
      <c r="J115" s="38"/>
      <c r="K115" s="38"/>
      <c r="L115" s="38"/>
      <c r="M115" s="38"/>
      <c r="N115" s="38"/>
      <c r="O115" s="38"/>
      <c r="P115" s="38"/>
      <c r="Q115" s="38"/>
      <c r="R115" s="38"/>
      <c r="S115" s="38"/>
      <c r="T115" s="38"/>
      <c r="U115" s="38"/>
      <c r="V115" s="38"/>
      <c r="W115" s="38"/>
      <c r="X115" s="38"/>
    </row>
    <row r="116" spans="5:24" x14ac:dyDescent="0.2">
      <c r="E116" s="23"/>
      <c r="F116" s="23"/>
      <c r="G116" s="98"/>
      <c r="H116" s="98"/>
      <c r="I116" s="98"/>
      <c r="J116" s="98"/>
      <c r="K116" s="98"/>
      <c r="L116" s="98"/>
      <c r="M116" s="98"/>
      <c r="N116" s="98"/>
      <c r="O116" s="98"/>
      <c r="P116" s="98"/>
      <c r="Q116" s="98"/>
      <c r="R116" s="98"/>
      <c r="S116" s="98"/>
      <c r="T116" s="98"/>
      <c r="U116" s="98"/>
      <c r="V116" s="98"/>
      <c r="W116" s="98"/>
      <c r="X116" s="38"/>
    </row>
    <row r="117" spans="5:24" x14ac:dyDescent="0.2">
      <c r="E117" s="23"/>
      <c r="F117" s="23"/>
      <c r="G117" s="98"/>
      <c r="H117" s="98"/>
      <c r="I117" s="98"/>
      <c r="J117" s="98"/>
      <c r="K117" s="98"/>
      <c r="L117" s="98"/>
      <c r="M117" s="98"/>
      <c r="N117" s="98"/>
      <c r="O117" s="98"/>
      <c r="P117" s="98"/>
      <c r="Q117" s="98"/>
      <c r="R117" s="98"/>
      <c r="S117" s="98"/>
      <c r="T117" s="98"/>
      <c r="U117" s="98"/>
      <c r="V117" s="98"/>
      <c r="W117" s="98"/>
      <c r="X117" s="38"/>
    </row>
    <row r="118" spans="5:24" x14ac:dyDescent="0.2">
      <c r="G118" s="38"/>
      <c r="H118" s="38"/>
      <c r="I118" s="38"/>
      <c r="J118" s="38"/>
      <c r="K118" s="38"/>
      <c r="L118" s="38"/>
      <c r="M118" s="38"/>
      <c r="N118" s="38"/>
      <c r="O118" s="38"/>
      <c r="P118" s="38"/>
      <c r="Q118" s="38"/>
      <c r="R118" s="38"/>
      <c r="S118" s="38"/>
      <c r="T118" s="38"/>
      <c r="U118" s="38"/>
      <c r="V118" s="38"/>
      <c r="W118" s="38"/>
      <c r="X118" s="38"/>
    </row>
    <row r="119" spans="5:24" x14ac:dyDescent="0.2">
      <c r="E119" s="23"/>
      <c r="F119" s="23"/>
      <c r="G119" s="98"/>
      <c r="H119" s="98"/>
      <c r="I119" s="98"/>
      <c r="J119" s="98"/>
      <c r="K119" s="98"/>
      <c r="L119" s="98"/>
      <c r="M119" s="98"/>
      <c r="N119" s="98"/>
      <c r="O119" s="98"/>
      <c r="P119" s="98"/>
      <c r="Q119" s="98"/>
      <c r="R119" s="98"/>
      <c r="S119" s="98"/>
      <c r="T119" s="98"/>
      <c r="U119" s="98"/>
      <c r="V119" s="98"/>
      <c r="W119" s="98"/>
      <c r="X119" s="98"/>
    </row>
    <row r="120" spans="5:24" x14ac:dyDescent="0.2">
      <c r="E120" s="23"/>
      <c r="F120" s="23"/>
      <c r="G120" s="98"/>
      <c r="H120" s="98"/>
      <c r="I120" s="98"/>
      <c r="J120" s="98"/>
      <c r="K120" s="98"/>
      <c r="L120" s="98"/>
      <c r="M120" s="98"/>
      <c r="N120" s="98"/>
      <c r="O120" s="98"/>
      <c r="P120" s="98"/>
      <c r="Q120" s="98"/>
      <c r="R120" s="98"/>
      <c r="S120" s="98"/>
      <c r="T120" s="98"/>
      <c r="U120" s="98"/>
      <c r="V120" s="98"/>
      <c r="W120" s="98"/>
      <c r="X120" s="98"/>
    </row>
    <row r="121" spans="5:24" x14ac:dyDescent="0.2">
      <c r="G121" s="98"/>
      <c r="H121" s="98"/>
      <c r="I121" s="98"/>
      <c r="J121" s="98"/>
      <c r="K121" s="98"/>
      <c r="L121" s="98"/>
      <c r="M121" s="98"/>
      <c r="N121" s="98"/>
      <c r="O121" s="98"/>
      <c r="P121" s="98"/>
      <c r="Q121" s="98"/>
      <c r="R121" s="98"/>
      <c r="S121" s="98"/>
      <c r="T121" s="98"/>
      <c r="U121" s="98"/>
      <c r="V121" s="98"/>
      <c r="W121" s="98"/>
      <c r="X121" s="98"/>
    </row>
    <row r="122" spans="5:24" x14ac:dyDescent="0.2">
      <c r="E122" s="23"/>
      <c r="F122" s="23"/>
      <c r="G122" s="98"/>
      <c r="H122" s="98"/>
      <c r="I122" s="98"/>
      <c r="J122" s="98"/>
      <c r="K122" s="98"/>
      <c r="L122" s="98"/>
      <c r="M122" s="98"/>
      <c r="N122" s="98"/>
      <c r="O122" s="98"/>
      <c r="P122" s="98"/>
      <c r="Q122" s="98"/>
      <c r="R122" s="98"/>
      <c r="S122" s="98"/>
      <c r="T122" s="98"/>
      <c r="U122" s="98"/>
      <c r="V122" s="98"/>
      <c r="W122" s="98"/>
      <c r="X122" s="98"/>
    </row>
    <row r="123" spans="5:24" x14ac:dyDescent="0.2">
      <c r="E123" s="23"/>
      <c r="F123" s="23"/>
      <c r="G123" s="98"/>
      <c r="H123" s="98"/>
      <c r="I123" s="98"/>
      <c r="J123" s="98"/>
      <c r="K123" s="98"/>
      <c r="L123" s="98"/>
      <c r="M123" s="98"/>
      <c r="N123" s="98"/>
      <c r="O123" s="98"/>
      <c r="P123" s="98"/>
      <c r="Q123" s="98"/>
      <c r="R123" s="98"/>
      <c r="S123" s="98"/>
      <c r="T123" s="98"/>
      <c r="U123" s="98"/>
      <c r="V123" s="98"/>
      <c r="W123" s="98"/>
      <c r="X123" s="98"/>
    </row>
    <row r="124" spans="5:24" x14ac:dyDescent="0.2">
      <c r="G124" s="98"/>
      <c r="H124" s="98"/>
      <c r="I124" s="98"/>
      <c r="J124" s="98"/>
      <c r="K124" s="98"/>
      <c r="L124" s="98"/>
      <c r="M124" s="98"/>
      <c r="N124" s="98"/>
      <c r="O124" s="98"/>
      <c r="P124" s="98"/>
      <c r="Q124" s="98"/>
      <c r="R124" s="98"/>
      <c r="S124" s="98"/>
      <c r="T124" s="98"/>
      <c r="U124" s="98"/>
      <c r="V124" s="98"/>
      <c r="W124" s="98"/>
      <c r="X124" s="98"/>
    </row>
    <row r="125" spans="5:24" x14ac:dyDescent="0.2">
      <c r="G125" s="98"/>
      <c r="H125" s="98"/>
      <c r="I125" s="98"/>
      <c r="J125" s="98"/>
      <c r="K125" s="98"/>
      <c r="L125" s="98"/>
      <c r="M125" s="98"/>
      <c r="N125" s="98"/>
      <c r="O125" s="98"/>
      <c r="P125" s="98"/>
      <c r="Q125" s="98"/>
      <c r="R125" s="98"/>
      <c r="S125" s="98"/>
      <c r="T125" s="98"/>
      <c r="U125" s="98"/>
      <c r="V125" s="98"/>
      <c r="W125" s="98"/>
      <c r="X125" s="98"/>
    </row>
  </sheetData>
  <conditionalFormatting sqref="G12:M12">
    <cfRule type="expression" dxfId="6" priority="4">
      <formula>AND(G10&gt;$C$5,G10&lt;=$C$6)</formula>
    </cfRule>
  </conditionalFormatting>
  <conditionalFormatting sqref="U10:W44 U46:W53 U84:W140 U55:W82">
    <cfRule type="expression" dxfId="5"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HR</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-1.167449</v>
      </c>
      <c r="D12" s="2">
        <f>'Input data'!D13</f>
        <v>0.20019870000000001</v>
      </c>
      <c r="E12" s="2">
        <f>'Input data'!E13</f>
        <v>-0.118968</v>
      </c>
      <c r="F12" s="2">
        <f>'Input data'!F13</f>
        <v>-1.9611449999999999</v>
      </c>
      <c r="G12" s="3">
        <f>IF(G10&lt;=$C$6,F12+'Criteria results'!$F$7,F12)</f>
        <v>-1.9611449999999999</v>
      </c>
      <c r="H12" s="3">
        <f>IF(H10&lt;=$C$6,G12+'Criteria results'!$F$7,G12)</f>
        <v>-1.9611449999999999</v>
      </c>
      <c r="I12" s="3">
        <f>IF(I10&lt;=$C$6,H12+'Criteria results'!$F$7,H12)</f>
        <v>-1.9611449999999999</v>
      </c>
      <c r="J12" s="3">
        <f>IF(J10&lt;=$C$6,I12+'Criteria results'!$F$7,I12)</f>
        <v>-1.9611449999999999</v>
      </c>
      <c r="K12" s="96">
        <f>IF(K10&lt;=$C$6,J12+'Criteria results'!$F$7,J12)</f>
        <v>-1.9611449999999999</v>
      </c>
      <c r="L12" s="96">
        <f>IF(L10&lt;=$C$6,K12+'Criteria results'!$F$7,K12)</f>
        <v>-1.9611449999999999</v>
      </c>
      <c r="M12" s="96">
        <f>IF(M10&lt;=$C$6,L12+'Criteria results'!$F$7,L12)</f>
        <v>-1.9611449999999999</v>
      </c>
      <c r="N12" s="96">
        <f>M12</f>
        <v>-1.9611449999999999</v>
      </c>
      <c r="O12" s="96">
        <f t="shared" ref="O12:W12" si="0">N12</f>
        <v>-1.9611449999999999</v>
      </c>
      <c r="P12" s="96">
        <f t="shared" si="0"/>
        <v>-1.9611449999999999</v>
      </c>
      <c r="Q12" s="96">
        <f t="shared" si="0"/>
        <v>-1.9611449999999999</v>
      </c>
      <c r="R12" s="96">
        <f t="shared" si="0"/>
        <v>-1.9611449999999999</v>
      </c>
      <c r="S12" s="96">
        <f t="shared" si="0"/>
        <v>-1.9611449999999999</v>
      </c>
      <c r="T12" s="96">
        <f t="shared" si="0"/>
        <v>-1.9611449999999999</v>
      </c>
      <c r="U12" s="96">
        <f t="shared" si="0"/>
        <v>-1.9611449999999999</v>
      </c>
      <c r="V12" s="96">
        <f t="shared" si="0"/>
        <v>-1.9611449999999999</v>
      </c>
      <c r="W12" s="96">
        <f t="shared" si="0"/>
        <v>-1.9611449999999999</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-0.29251179999999999</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2.5225840000000002</v>
      </c>
      <c r="D15" s="2">
        <f>'Input data'!D15</f>
        <v>-5.1615739999999999</v>
      </c>
      <c r="E15" s="2">
        <f>'Input data'!E15</f>
        <v>2.9723419999999998</v>
      </c>
      <c r="F15" s="2">
        <f>'Input data'!F15</f>
        <v>-1.2972429999999999</v>
      </c>
      <c r="G15" s="2">
        <f>'Input data'!G15</f>
        <v>-0.2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18.73057</v>
      </c>
      <c r="E18" s="79">
        <f>'Input data'!E20</f>
        <v>19.072150000000001</v>
      </c>
      <c r="F18" s="79">
        <f>'Input data'!F20</f>
        <v>19.672080000000001</v>
      </c>
      <c r="G18" s="79">
        <f>'Input data'!G20</f>
        <v>19.686590000000006</v>
      </c>
      <c r="H18" s="79">
        <f>'Input data'!H20</f>
        <v>19.617419999999999</v>
      </c>
      <c r="I18" s="79">
        <f>'Input data'!I20</f>
        <v>19.589290000000002</v>
      </c>
      <c r="J18" s="79">
        <f>'Input data'!J20</f>
        <v>19.582280000000004</v>
      </c>
      <c r="K18" s="79">
        <f>'Input data'!K20</f>
        <v>19.575480000000002</v>
      </c>
      <c r="L18" s="79">
        <f>'Input data'!L20</f>
        <v>19.559480000000001</v>
      </c>
      <c r="M18" s="79">
        <f>'Input data'!M20</f>
        <v>19.53959</v>
      </c>
      <c r="N18" s="79">
        <f>'Input data'!N20</f>
        <v>19.500919999999997</v>
      </c>
      <c r="O18" s="79">
        <f>'Input data'!O20</f>
        <v>19.449690000000004</v>
      </c>
      <c r="P18" s="79">
        <f>'Input data'!P20</f>
        <v>19.407900000000001</v>
      </c>
      <c r="Q18" s="79">
        <f>'Input data'!Q20</f>
        <v>19.380710000000001</v>
      </c>
      <c r="R18" s="79">
        <f>'Input data'!R20</f>
        <v>19.350300000000001</v>
      </c>
      <c r="S18" s="79">
        <f>'Input data'!S20</f>
        <v>19.29298</v>
      </c>
      <c r="T18" s="79">
        <f>'Input data'!T20</f>
        <v>19.228539999999999</v>
      </c>
      <c r="U18" s="79">
        <f>'Input data'!U20</f>
        <v>19.15353</v>
      </c>
      <c r="V18" s="79">
        <f>'Input data'!V20</f>
        <v>19.077999999999999</v>
      </c>
      <c r="W18" s="79">
        <f>'Input data'!W20</f>
        <v>19.007649999999998</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0.78728819999999999</v>
      </c>
      <c r="D19" s="79">
        <f>'Input data'!D26</f>
        <v>0.62805219999999995</v>
      </c>
      <c r="E19" s="79">
        <f>'Input data'!E26</f>
        <v>0.62721289999999996</v>
      </c>
      <c r="F19" s="79">
        <f>'Input data'!F26</f>
        <v>0.62637359999999997</v>
      </c>
      <c r="G19" s="79">
        <f>'Input data'!G26</f>
        <v>0.62553440000000005</v>
      </c>
      <c r="H19" s="79">
        <f>'Input data'!H26</f>
        <v>0.62469509999999995</v>
      </c>
      <c r="I19" s="79">
        <f>'Input data'!I26</f>
        <v>0.62385579999999996</v>
      </c>
      <c r="J19" s="79">
        <f>'Input data'!J26</f>
        <v>0.62301649999999997</v>
      </c>
      <c r="K19" s="79">
        <f>'Input data'!K26</f>
        <v>0.62217710000000004</v>
      </c>
      <c r="L19" s="79">
        <f>'Input data'!L26</f>
        <v>0.62133780000000005</v>
      </c>
      <c r="M19" s="79">
        <f>'Input data'!M26</f>
        <v>0.62049849999999995</v>
      </c>
      <c r="N19" s="79">
        <f>'Input data'!N26</f>
        <v>0.61965919999999997</v>
      </c>
      <c r="O19" s="79">
        <f>'Input data'!O26</f>
        <v>0.61881980000000003</v>
      </c>
      <c r="P19" s="79">
        <f>'Input data'!P26</f>
        <v>0.61798050000000004</v>
      </c>
      <c r="Q19" s="79">
        <f>'Input data'!Q26</f>
        <v>0.61714119999999995</v>
      </c>
      <c r="R19" s="79">
        <f>'Input data'!R26</f>
        <v>0.61630189999999996</v>
      </c>
      <c r="S19" s="79">
        <f>'Input data'!S26</f>
        <v>0.61546250000000002</v>
      </c>
      <c r="T19" s="79">
        <f>'Input data'!T26</f>
        <v>0.61462320000000004</v>
      </c>
      <c r="U19" s="79">
        <f>'Input data'!U26</f>
        <v>0.61378390000000005</v>
      </c>
      <c r="V19" s="79">
        <f>'Input data'!V26</f>
        <v>0.61294459999999995</v>
      </c>
      <c r="W19" s="79">
        <f>'Input data'!W26</f>
        <v>0.61210529999999996</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54.263080000000002</v>
      </c>
      <c r="D23" s="78">
        <f>'Baseline NFPC'!D22</f>
        <v>58.076269808791601</v>
      </c>
      <c r="E23" s="78">
        <f>'Baseline NFPC'!E22</f>
        <v>59.853910090013358</v>
      </c>
      <c r="F23" s="78">
        <f>'Baseline NFPC'!F22</f>
        <v>61.828244584312429</v>
      </c>
      <c r="G23" s="23">
        <f>IF(AND(G50&gt;1,F50&gt;1),IF(AND(G50&gt;0,F50&gt;0),G27*(G51/100+1),0)+IF(G50&gt;0,F23*(1+G52/100),0)-F23*(1+'Input data'!G30/100),IF(G50=1,G27,F23*(1+G52/100)))</f>
        <v>63.659913131229587</v>
      </c>
      <c r="H23" s="23">
        <f>IF(AND(H50&gt;1,G50&gt;1),IF(AND(H50&gt;0,G50&gt;0),H27*(H51/100+1),0)+IF(H50&gt;0,G23*(1+H52/100),0)-G23*(1+'Input data'!H30/100),IF(H50=1,H27,G23*(1+H52/100)))</f>
        <v>64.966408711417472</v>
      </c>
      <c r="I23" s="23">
        <f>IF(AND(I50&gt;1,H50&gt;1),IF(AND(I50&gt;0,H50&gt;0),I27*(I51/100+1),0)+IF(I50&gt;0,H23*(1+I52/100),0)-H23*(1+'Input data'!I30/100),IF(I50=1,I27,H23*(1+I52/100)))</f>
        <v>65.907616703929094</v>
      </c>
      <c r="J23" s="23">
        <f>IF(AND(J50&gt;1,I50&gt;1),IF(AND(J50&gt;0,I50&gt;0),J27*(J51/100+1),0)+IF(J50&gt;0,I23*(1+J52/100),0)-I23*(1+'Input data'!J30/100),IF(J50=1,J27,I23*(1+J52/100)))</f>
        <v>67.018898869773551</v>
      </c>
      <c r="K23" s="23">
        <f>IF(AND(K50&gt;1,J50&gt;1),IF(AND(K50&gt;0,J50&gt;0),K27*(K51/100+1),0)+IF(K50&gt;0,J23*(1+K52/100),0)-J23*(1+'Input data'!K30/100),IF(K50=1,K27,J23*(1+K52/100)))</f>
        <v>68.385796225451784</v>
      </c>
      <c r="L23" s="23">
        <f>IF(AND(L50&gt;1,K50&gt;1),IF(AND(L50&gt;0,K50&gt;0),L27*(L51/100+1),0)+IF(L50&gt;0,K23*(1+L52/100),0)-K23*(1+'Input data'!L30/100),IF(L50=1,L27,K23*(1+L52/100)))</f>
        <v>69.695252238582469</v>
      </c>
      <c r="M23" s="23">
        <f>IF(AND(M50&gt;1,L50&gt;1),IF(AND(M50&gt;0,L50&gt;0),M27*(M51/100+1),0)+IF(M50&gt;0,L23*(1+M52/100),0)-L23*(1+'Input data'!M30/100),IF(M50=1,M27,L23*(1+M52/100)))</f>
        <v>70.937653047085377</v>
      </c>
      <c r="N23" s="23">
        <f>IF(AND(N50&gt;1,M50&gt;1),IF(AND(N50&gt;0,M50&gt;0),N27*(N51/100+1),0)+IF(N50&gt;0,M23*(1+N52/100),0)-M23*(1+'Input data'!N30/100),IF(N50=1,N27,M23*(1+N52/100)))</f>
        <v>72.141335203389332</v>
      </c>
      <c r="O23" s="23">
        <f>IF(AND(O50&gt;1,N50&gt;1),IF(AND(O50&gt;0,N50&gt;0),O27*(O51/100+1),0)+IF(O50&gt;0,N23*(1+O52/100),0)-N23*(1+'Input data'!O30/100),IF(O50=1,O27,N23*(1+O52/100)))</f>
        <v>73.315300529527676</v>
      </c>
      <c r="P23" s="23">
        <f>IF(AND(P50&gt;1,O50&gt;1),IF(AND(P50&gt;0,O50&gt;0),P27*(P51/100+1),0)+IF(P50&gt;0,O23*(1+P52/100),0)-O23*(1+'Input data'!P30/100),IF(P50=1,P27,O23*(1+P52/100)))</f>
        <v>74.467804590250765</v>
      </c>
      <c r="Q23" s="23">
        <f>IF(AND(Q50&gt;1,P50&gt;1),IF(AND(Q50&gt;0,P50&gt;0),Q27*(Q51/100+1),0)+IF(Q50&gt;0,P23*(1+Q52/100),0)-P23*(1+'Input data'!Q30/100),IF(Q50=1,Q27,P23*(1+Q52/100)))</f>
        <v>75.597229484705352</v>
      </c>
      <c r="R23" s="23">
        <f>IF(AND(R50&gt;1,Q50&gt;1),IF(AND(R50&gt;0,Q50&gt;0),R27*(R51/100+1),0)+IF(R50&gt;0,Q23*(1+R52/100),0)-Q23*(1+'Input data'!R30/100),IF(R50=1,R27,Q23*(1+R52/100)))</f>
        <v>76.701958258195674</v>
      </c>
      <c r="S23" s="23">
        <f>IF(AND(S50&gt;1,R50&gt;1),IF(AND(S50&gt;0,R50&gt;0),S27*(S51/100+1),0)+IF(S50&gt;0,R23*(1+S52/100),0)-R23*(1+'Input data'!S30/100),IF(S50=1,S27,R23*(1+S52/100)))</f>
        <v>77.879402349221408</v>
      </c>
      <c r="T23" s="23">
        <f>IF(AND(T50&gt;1,S50&gt;1),IF(AND(T50&gt;0,S50&gt;0),T27*(T51/100+1),0)+IF(T50&gt;0,S23*(1+T52/100),0)-S23*(1+'Input data'!T30/100),IF(T50=1,T27,S23*(1+T52/100)))</f>
        <v>79.097701770725237</v>
      </c>
      <c r="U23" s="23">
        <f>IF(AND(U50&gt;1,T50&gt;1),IF(AND(U50&gt;0,T50&gt;0),U27*(U51/100+1),0)+IF(U50&gt;0,T23*(1+U52/100),0)-T23*(1+'Input data'!U30/100),IF(U50=1,U27,T23*(1+U52/100)))</f>
        <v>80.382140874607416</v>
      </c>
      <c r="V23" s="23">
        <f>IF(AND(V50&gt;1,U50&gt;1),IF(AND(V50&gt;0,U50&gt;0),V27*(V51/100+1),0)+IF(V50&gt;0,U23*(1+V52/100),0)-U23*(1+'Input data'!V30/100),IF(V50=1,V27,U23*(1+V52/100)))</f>
        <v>81.729171126420141</v>
      </c>
      <c r="W23" s="23">
        <f>IF(AND(W50&gt;1,V50&gt;1),IF(AND(W50&gt;0,V50&gt;0),W27*(W51/100+1),0)+IF(W50&gt;0,V23*(1+W52/100),0)-V23*(1+'Input data'!W30/100),IF(W50=1,W27,V23*(1+W52/100)))</f>
        <v>83.089255685636502</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13.04114</v>
      </c>
      <c r="D24" s="78">
        <f>'Baseline NFPC'!D23</f>
        <v>7.0272269999999999</v>
      </c>
      <c r="E24" s="78">
        <f>'Baseline NFPC'!E23</f>
        <v>3.0608719999999998</v>
      </c>
      <c r="F24" s="78">
        <f>'Baseline NFPC'!F23</f>
        <v>3.2985890000000002</v>
      </c>
      <c r="G24" s="23">
        <f t="shared" ref="G24:S24" si="2">100*(G23/F23-1)</f>
        <v>2.962511000000001</v>
      </c>
      <c r="H24" s="23">
        <f t="shared" si="2"/>
        <v>2.0523049999999987</v>
      </c>
      <c r="I24" s="23">
        <f t="shared" si="2"/>
        <v>1.4487609999999984</v>
      </c>
      <c r="J24" s="23">
        <f t="shared" si="2"/>
        <v>1.6861210000000071</v>
      </c>
      <c r="K24" s="23">
        <f t="shared" si="2"/>
        <v>2.0395699999999906</v>
      </c>
      <c r="L24" s="23">
        <f t="shared" si="2"/>
        <v>1.9148069999999962</v>
      </c>
      <c r="M24" s="23">
        <f t="shared" si="2"/>
        <v>1.7826190000000075</v>
      </c>
      <c r="N24" s="23">
        <f t="shared" si="2"/>
        <v>1.6968169999999949</v>
      </c>
      <c r="O24" s="23">
        <f t="shared" si="2"/>
        <v>1.627313000000008</v>
      </c>
      <c r="P24" s="23">
        <f t="shared" si="2"/>
        <v>1.5719830000000101</v>
      </c>
      <c r="Q24" s="23">
        <f t="shared" si="2"/>
        <v>1.516662000000002</v>
      </c>
      <c r="R24" s="23">
        <f t="shared" si="2"/>
        <v>1.461335000000008</v>
      </c>
      <c r="S24" s="23">
        <f t="shared" si="2"/>
        <v>1.5350900000000056</v>
      </c>
      <c r="T24" s="23">
        <f>100*(T23/S23-1)</f>
        <v>1.5643410000000024</v>
      </c>
      <c r="U24" s="23">
        <f t="shared" ref="U24:W24" si="3">100*(U23/T23-1)</f>
        <v>1.6238640000000082</v>
      </c>
      <c r="V24" s="23">
        <f t="shared" si="3"/>
        <v>1.6757829999999974</v>
      </c>
      <c r="W24" s="23">
        <f t="shared" si="3"/>
        <v>1.6641359999999938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54.062049999999999</v>
      </c>
      <c r="D27" s="78">
        <f>+C27*(1+'Input data'!D33/100)</f>
        <v>56.073728074007001</v>
      </c>
      <c r="E27" s="78">
        <f>+D27*(1+'Input data'!E33/100)</f>
        <v>58.378845017808374</v>
      </c>
      <c r="F27" s="78">
        <f>+E27*(1+'Input data'!F33/100)</f>
        <v>60.49657381571329</v>
      </c>
      <c r="G27" s="23">
        <f>+F27*(1+'Input data'!G33/100)</f>
        <v>62.457947149604507</v>
      </c>
      <c r="H27" s="23">
        <f>+G27*(1+'Input data'!H33/100)</f>
        <v>64.14347728446991</v>
      </c>
      <c r="I27" s="23">
        <f>+H27*(1+'Input data'!I33/100)</f>
        <v>65.626964535453311</v>
      </c>
      <c r="J27" s="23">
        <f>+I27*(1+'Input data'!J33/100)</f>
        <v>67.018903265475231</v>
      </c>
      <c r="K27" s="23">
        <f>+J27*(1+'Input data'!K33/100)</f>
        <v>68.385800040617852</v>
      </c>
      <c r="L27" s="23">
        <f>+K27*(1+'Input data'!L33/100)</f>
        <v>69.695258862233601</v>
      </c>
      <c r="M27" s="23">
        <f>+L27*(1+'Input data'!M33/100)</f>
        <v>70.937661182716141</v>
      </c>
      <c r="N27" s="23">
        <f>+M27*(1+'Input data'!N33/100)</f>
        <v>72.141339930183818</v>
      </c>
      <c r="O27" s="23">
        <f>+N27*(1+'Input data'!O33/100)</f>
        <v>73.315303169001695</v>
      </c>
      <c r="P27" s="23">
        <f>+O27*(1+'Input data'!P33/100)</f>
        <v>74.4678080043699</v>
      </c>
      <c r="Q27" s="23">
        <f>+P27*(1+'Input data'!Q33/100)</f>
        <v>75.597230716570891</v>
      </c>
      <c r="R27" s="23">
        <f>+Q27*(1+'Input data'!R33/100)</f>
        <v>76.701957996118281</v>
      </c>
      <c r="S27" s="23">
        <f>+R27*(1+'Input data'!S33/100)</f>
        <v>77.879401316101308</v>
      </c>
      <c r="T27" s="23">
        <f>+S27*(1+'Input data'!T33/100)</f>
        <v>79.097700721443616</v>
      </c>
      <c r="U27" s="23">
        <f>+T27*(1+'Input data'!U33/100)</f>
        <v>80.38213980828688</v>
      </c>
      <c r="V27" s="23">
        <f>+U27*(1+'Input data'!V33/100)</f>
        <v>81.729174061337361</v>
      </c>
      <c r="W27" s="23">
        <f>+V27*(1+'Input data'!W33/100)</f>
        <v>83.089258669394738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0.37185049401566861</v>
      </c>
      <c r="D30" s="78">
        <f t="shared" ref="D30:W30" si="4">100*(D23/D27-1)</f>
        <v>3.5712655526338732</v>
      </c>
      <c r="E30" s="78">
        <f t="shared" si="4"/>
        <v>2.5267116397301503</v>
      </c>
      <c r="F30" s="78">
        <f t="shared" si="4"/>
        <v>2.2012333667948303</v>
      </c>
      <c r="G30" s="23">
        <f t="shared" si="4"/>
        <v>1.9244404218826228</v>
      </c>
      <c r="H30" s="23">
        <f t="shared" si="4"/>
        <v>1.2829541861254956</v>
      </c>
      <c r="I30" s="23">
        <f t="shared" si="4"/>
        <v>0.42764764523608445</v>
      </c>
      <c r="J30" s="23">
        <f t="shared" si="4"/>
        <v>-6.5588982578468347E-6</v>
      </c>
      <c r="K30" s="23">
        <f t="shared" si="4"/>
        <v>-5.5788863528860588E-6</v>
      </c>
      <c r="L30" s="23">
        <f t="shared" si="4"/>
        <v>-9.5037327341174205E-6</v>
      </c>
      <c r="M30" s="23">
        <f>100*(M23/M27-1)</f>
        <v>-1.146870453050397E-5</v>
      </c>
      <c r="N30" s="23">
        <f t="shared" si="4"/>
        <v>-6.5521301495508055E-6</v>
      </c>
      <c r="O30" s="23">
        <f t="shared" si="4"/>
        <v>-3.6001679082353633E-6</v>
      </c>
      <c r="P30" s="23">
        <f t="shared" si="4"/>
        <v>-4.5846913265812361E-6</v>
      </c>
      <c r="Q30" s="23">
        <f t="shared" si="4"/>
        <v>-1.6295114591002857E-6</v>
      </c>
      <c r="R30" s="23">
        <f t="shared" si="4"/>
        <v>3.4168279317015049E-7</v>
      </c>
      <c r="S30" s="23">
        <f t="shared" si="4"/>
        <v>1.3265639919879391E-6</v>
      </c>
      <c r="T30" s="23">
        <f t="shared" si="4"/>
        <v>1.3265639919879391E-6</v>
      </c>
      <c r="U30" s="23">
        <f t="shared" si="4"/>
        <v>1.3265640141923996E-6</v>
      </c>
      <c r="V30" s="23">
        <f t="shared" si="4"/>
        <v>-3.5910276308115385E-6</v>
      </c>
      <c r="W30" s="23">
        <f t="shared" si="4"/>
        <v>-3.5910276308115385E-6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5">100*((1+C24/100)*(1+C42/100)-1)</f>
        <v>15.453914961210803</v>
      </c>
      <c r="D33" s="2">
        <f t="shared" si="5"/>
        <v>16.181890764315664</v>
      </c>
      <c r="E33" s="2">
        <f t="shared" si="5"/>
        <v>11.844406927856244</v>
      </c>
      <c r="F33" s="2">
        <f>100*((1+F24/100)*(1+F42/100)-1)</f>
        <v>9.0098037410534904</v>
      </c>
      <c r="G33" s="1">
        <f>100*((1+G24/100)*(1+G42/100)-1)</f>
        <v>5.1778173794222448</v>
      </c>
      <c r="H33" s="1">
        <f t="shared" si="5"/>
        <v>4.2988540817092691</v>
      </c>
      <c r="I33" s="1">
        <f t="shared" si="5"/>
        <v>3.7325496381979573</v>
      </c>
      <c r="J33" s="1">
        <f t="shared" si="5"/>
        <v>4.0258970359092983</v>
      </c>
      <c r="K33" s="1">
        <f t="shared" si="5"/>
        <v>4.4382988648330901</v>
      </c>
      <c r="L33" s="1">
        <f t="shared" si="5"/>
        <v>4.3613608627041112</v>
      </c>
      <c r="M33" s="1">
        <f t="shared" si="5"/>
        <v>4.2766916444533898</v>
      </c>
      <c r="N33" s="1">
        <f t="shared" si="5"/>
        <v>4.2394364965192777</v>
      </c>
      <c r="O33" s="1">
        <f t="shared" si="5"/>
        <v>4.2188094815000188</v>
      </c>
      <c r="P33" s="1">
        <f t="shared" si="5"/>
        <v>4.1341362711750262</v>
      </c>
      <c r="Q33" s="1">
        <f t="shared" si="5"/>
        <v>4.0495027169000108</v>
      </c>
      <c r="R33" s="1">
        <f t="shared" si="5"/>
        <v>3.9648934411250059</v>
      </c>
      <c r="S33" s="1">
        <f t="shared" si="5"/>
        <v>4.0125461959999997</v>
      </c>
      <c r="T33" s="1">
        <f t="shared" si="5"/>
        <v>4.0145807266249944</v>
      </c>
      <c r="U33" s="1">
        <f>100*((1+U24/100)*(1+U42/100)-1)</f>
        <v>4.0475931563999978</v>
      </c>
      <c r="V33" s="1">
        <f t="shared" si="5"/>
        <v>4.0727895842249895</v>
      </c>
      <c r="W33" s="1">
        <f t="shared" si="5"/>
        <v>4.0329103688000023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2.0416150000000002</v>
      </c>
      <c r="D36" s="78">
        <f>'Input data'!D37</f>
        <v>2.038402</v>
      </c>
      <c r="E36" s="78">
        <f>'Input data'!E37</f>
        <v>2.7909440000000001</v>
      </c>
      <c r="F36" s="78">
        <f>'Input data'!F37</f>
        <v>2.8182960000000001</v>
      </c>
      <c r="G36" s="78">
        <f>'Input data'!G37</f>
        <v>2.8191980000000001</v>
      </c>
      <c r="H36" s="23">
        <f t="shared" ref="H36:W36" si="6">H101</f>
        <v>2.9152727568937937</v>
      </c>
      <c r="I36" s="23">
        <f t="shared" si="6"/>
        <v>3.0198614752641246</v>
      </c>
      <c r="J36" s="23">
        <f t="shared" si="6"/>
        <v>3.1305071222619922</v>
      </c>
      <c r="K36" s="23">
        <f t="shared" si="6"/>
        <v>3.244254992765494</v>
      </c>
      <c r="L36" s="23">
        <f t="shared" si="6"/>
        <v>3.3586904437762959</v>
      </c>
      <c r="M36" s="23">
        <f t="shared" si="6"/>
        <v>3.4735960505673189</v>
      </c>
      <c r="N36" s="23">
        <f t="shared" si="6"/>
        <v>3.5888436335315377</v>
      </c>
      <c r="O36" s="23">
        <f t="shared" si="6"/>
        <v>3.7042062177843258</v>
      </c>
      <c r="P36" s="23">
        <f t="shared" si="6"/>
        <v>3.7974778124647504</v>
      </c>
      <c r="Q36" s="23">
        <f t="shared" si="6"/>
        <v>3.872329942154928</v>
      </c>
      <c r="R36" s="23">
        <f t="shared" si="6"/>
        <v>3.9317999116138735</v>
      </c>
      <c r="S36" s="23">
        <f t="shared" si="6"/>
        <v>3.9783580689477689</v>
      </c>
      <c r="T36" s="23">
        <f t="shared" si="6"/>
        <v>4.0140502672333565</v>
      </c>
      <c r="U36" s="23">
        <f t="shared" si="6"/>
        <v>4.0406830865471566</v>
      </c>
      <c r="V36" s="23">
        <f t="shared" si="6"/>
        <v>4.0597676832635905</v>
      </c>
      <c r="W36" s="23">
        <f t="shared" si="6"/>
        <v>4.0725799851218927</v>
      </c>
    </row>
    <row r="37" spans="2:51" x14ac:dyDescent="0.2">
      <c r="B37" s="21" t="s">
        <v>66</v>
      </c>
      <c r="C37" s="1"/>
      <c r="D37" s="2">
        <f>'Input data'!D$39</f>
        <v>2.7</v>
      </c>
      <c r="E37" s="2">
        <f>'Input data'!E$39</f>
        <v>3.8</v>
      </c>
      <c r="F37" s="138">
        <f>'Input data'!F$39</f>
        <v>3.3516180000000002</v>
      </c>
      <c r="G37" s="138">
        <f>'Input data'!G$39</f>
        <v>3.4386399999999999</v>
      </c>
      <c r="H37" s="1">
        <f>G37+($O$37-$G$37)/($O$10-$G$10)</f>
        <v>3.5561875000000001</v>
      </c>
      <c r="I37" s="1">
        <f t="shared" ref="I37:N37" si="7">H37+($O$37-$G$37)/($O$10-$G$10)</f>
        <v>3.6737350000000002</v>
      </c>
      <c r="J37" s="1">
        <f t="shared" si="7"/>
        <v>3.7912825000000003</v>
      </c>
      <c r="K37" s="1">
        <f t="shared" si="7"/>
        <v>3.9088300000000005</v>
      </c>
      <c r="L37" s="1">
        <f t="shared" si="7"/>
        <v>4.0263775000000006</v>
      </c>
      <c r="M37" s="1">
        <f t="shared" si="7"/>
        <v>4.1439250000000003</v>
      </c>
      <c r="N37" s="1">
        <f t="shared" si="7"/>
        <v>4.2614725</v>
      </c>
      <c r="O37" s="179">
        <f>'Input data'!$C$52</f>
        <v>4.3790199999999997</v>
      </c>
      <c r="P37" s="1">
        <f>'Baseline NFPC'!P36</f>
        <v>4.3600689999999993</v>
      </c>
      <c r="Q37" s="1">
        <f>'Baseline NFPC'!Q36</f>
        <v>4.3411179999999998</v>
      </c>
      <c r="R37" s="1">
        <f>'Baseline NFPC'!R36</f>
        <v>4.3221669999999994</v>
      </c>
      <c r="S37" s="1">
        <f>'Baseline NFPC'!S36</f>
        <v>4.3032159999999999</v>
      </c>
      <c r="T37" s="1">
        <f>'Baseline NFPC'!T36</f>
        <v>4.2842649999999995</v>
      </c>
      <c r="U37" s="1">
        <f>'Baseline NFPC'!U36</f>
        <v>4.265314</v>
      </c>
      <c r="V37" s="1">
        <f>'Baseline NFPC'!V36</f>
        <v>4.2463629999999997</v>
      </c>
      <c r="W37" s="1">
        <f>'Baseline NFPC'!W36</f>
        <v>4.2274120000000002</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7.7560240000000003E-2</v>
      </c>
      <c r="D39" s="23">
        <f>'Baseline NFPC'!D38</f>
        <v>0.10419281</v>
      </c>
      <c r="E39" s="23">
        <f>'Baseline NFPC'!E38</f>
        <v>0.1022535</v>
      </c>
      <c r="F39" s="23">
        <f>'Baseline NFPC'!F38</f>
        <v>9.6918219999999999E-2</v>
      </c>
      <c r="G39" s="23">
        <f>'Baseline NFPC'!G38</f>
        <v>9.8009879999999994E-2</v>
      </c>
      <c r="H39" s="23">
        <f>'Baseline NFPC'!H38</f>
        <v>9.9101540000000002E-2</v>
      </c>
      <c r="I39" s="23">
        <f>'Baseline NFPC'!I38</f>
        <v>0.1001932</v>
      </c>
      <c r="J39" s="23">
        <f>'Baseline NFPC'!J38</f>
        <v>0.10128486</v>
      </c>
      <c r="K39" s="23">
        <f>'Baseline NFPC'!K38</f>
        <v>0.10237652</v>
      </c>
      <c r="L39" s="23">
        <f>'Baseline NFPC'!L38</f>
        <v>0.10346818000000001</v>
      </c>
      <c r="M39" s="23">
        <f>'Baseline NFPC'!M38</f>
        <v>0.10455984</v>
      </c>
      <c r="N39" s="23">
        <f>'Baseline NFPC'!N38</f>
        <v>0.10565150000000001</v>
      </c>
      <c r="O39" s="23">
        <f>'Baseline NFPC'!O38</f>
        <v>0.10674316</v>
      </c>
      <c r="P39" s="23">
        <f>'Baseline NFPC'!P38</f>
        <v>0.10674316</v>
      </c>
      <c r="Q39" s="23">
        <f>'Baseline NFPC'!Q38</f>
        <v>0.10674316</v>
      </c>
      <c r="R39" s="23">
        <f>'Baseline NFPC'!R38</f>
        <v>0.10674316</v>
      </c>
      <c r="S39" s="23">
        <f>'Baseline NFPC'!S38</f>
        <v>0.10674316</v>
      </c>
      <c r="T39" s="23">
        <f>'Baseline NFPC'!T38</f>
        <v>0.10674316</v>
      </c>
      <c r="U39" s="23">
        <f>'Baseline NFPC'!U38</f>
        <v>0.10674316</v>
      </c>
      <c r="V39" s="23">
        <f>'Baseline NFPC'!V38</f>
        <v>0.10674316</v>
      </c>
      <c r="W39" s="23">
        <f>'Baseline NFPC'!W38</f>
        <v>0.10674316</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2.1344219999999998</v>
      </c>
      <c r="D42" s="2">
        <f>'Input data'!D42</f>
        <v>8.5535840000000007</v>
      </c>
      <c r="E42" s="2">
        <f>'Input data'!E42</f>
        <v>8.5226670000000002</v>
      </c>
      <c r="F42" s="2">
        <f>'Input data'!F42</f>
        <v>5.5288409999999999</v>
      </c>
      <c r="G42" s="2">
        <f>'Input data'!G42</f>
        <v>2.1515659999999999</v>
      </c>
      <c r="H42" s="1">
        <f>'Baseline NFPC'!H41</f>
        <v>2.2013702500000001</v>
      </c>
      <c r="I42" s="1">
        <f>'Baseline NFPC'!I41</f>
        <v>2.2511744999999999</v>
      </c>
      <c r="J42" s="1">
        <f>'Baseline NFPC'!J41</f>
        <v>2.3009787499999996</v>
      </c>
      <c r="K42" s="1">
        <f>'Baseline NFPC'!K41</f>
        <v>2.3507829999999998</v>
      </c>
      <c r="L42" s="1">
        <f>'Baseline NFPC'!L41</f>
        <v>2.4005872500000001</v>
      </c>
      <c r="M42" s="1">
        <f>'Baseline NFPC'!M41</f>
        <v>2.4503914999999998</v>
      </c>
      <c r="N42" s="1">
        <f>'Baseline NFPC'!N41</f>
        <v>2.5001957499999996</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0.97267369999999997</v>
      </c>
      <c r="D43" s="1">
        <f>'Baseline NFPC'!D42</f>
        <v>1.09311</v>
      </c>
      <c r="E43" s="1">
        <f>'Baseline NFPC'!E42</f>
        <v>0.97992279999999998</v>
      </c>
      <c r="F43" s="1">
        <f>'Baseline NFPC'!F42</f>
        <v>1.006683</v>
      </c>
      <c r="G43" s="1">
        <f>'Baseline NFPC'!G42</f>
        <v>1.003601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0.443</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9">IF(C50=4,2/3*C30,IF(C50=3,1/3*B30,0))</f>
        <v>0</v>
      </c>
      <c r="E51" s="23">
        <f t="shared" si="9"/>
        <v>0</v>
      </c>
      <c r="F51" s="23">
        <f t="shared" si="9"/>
        <v>0</v>
      </c>
      <c r="G51" s="23">
        <f t="shared" si="9"/>
        <v>0</v>
      </c>
      <c r="H51" s="23">
        <f t="shared" si="9"/>
        <v>0</v>
      </c>
      <c r="I51" s="23">
        <f t="shared" si="9"/>
        <v>0</v>
      </c>
      <c r="J51" s="23">
        <f t="shared" si="9"/>
        <v>0</v>
      </c>
      <c r="K51" s="23">
        <f t="shared" si="9"/>
        <v>0</v>
      </c>
      <c r="L51" s="23">
        <f t="shared" si="9"/>
        <v>0</v>
      </c>
      <c r="M51" s="23">
        <f t="shared" si="9"/>
        <v>0</v>
      </c>
      <c r="N51" s="23">
        <f t="shared" si="9"/>
        <v>0</v>
      </c>
      <c r="O51" s="23">
        <f t="shared" si="9"/>
        <v>0</v>
      </c>
      <c r="P51" s="23">
        <f t="shared" si="9"/>
        <v>0</v>
      </c>
      <c r="Q51" s="23">
        <f t="shared" si="9"/>
        <v>0</v>
      </c>
      <c r="R51" s="23">
        <f t="shared" si="9"/>
        <v>0</v>
      </c>
      <c r="S51" s="23">
        <f t="shared" si="9"/>
        <v>0</v>
      </c>
      <c r="T51" s="23">
        <f t="shared" si="9"/>
        <v>0</v>
      </c>
      <c r="U51" s="23">
        <f t="shared" si="9"/>
        <v>0</v>
      </c>
      <c r="V51" s="23">
        <f t="shared" si="9"/>
        <v>0</v>
      </c>
      <c r="W51" s="23">
        <f t="shared" si="9"/>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7.0272269999999999</v>
      </c>
      <c r="E52" s="23">
        <f>'Input data'!E30-$C$47*((E12-D12)-('Input data'!E13-'Input data'!D13))</f>
        <v>3.0608719999999998</v>
      </c>
      <c r="F52" s="23">
        <f>'Input data'!F30-$C$47*((F12-E12)-('Input data'!F13-'Input data'!E13))</f>
        <v>3.2985890000000002</v>
      </c>
      <c r="G52" s="23">
        <f>'Input data'!G30-$C$47*((G12-F12))</f>
        <v>2.9625110000000001</v>
      </c>
      <c r="H52" s="23">
        <f>'Input data'!H30-$C$47*((H12-G12))</f>
        <v>2.052305</v>
      </c>
      <c r="I52" s="23">
        <f>'Input data'!I30-$C$47*((I12-H12))</f>
        <v>1.448761</v>
      </c>
      <c r="J52" s="23">
        <f>'Input data'!J30-$C$47*((J12-I12))</f>
        <v>1.686121</v>
      </c>
      <c r="K52" s="23">
        <f>'Input data'!K30-$C$47*((K12-J12))</f>
        <v>2.0395699999999999</v>
      </c>
      <c r="L52" s="23">
        <f>'Input data'!L30-$C$47*((L12-K12))</f>
        <v>1.9148069999999999</v>
      </c>
      <c r="M52" s="23">
        <f>'Input data'!M30-$C$47*((M12-L12))</f>
        <v>1.782619</v>
      </c>
      <c r="N52" s="23">
        <f>'Input data'!N30-$C$47*((N12-M12))</f>
        <v>1.696817</v>
      </c>
      <c r="O52" s="23">
        <f>'Input data'!O30-$C$47*((O12-N12))</f>
        <v>1.627313</v>
      </c>
      <c r="P52" s="23">
        <f>'Input data'!P30-$C$47*((P12-O12))</f>
        <v>1.5719829999999999</v>
      </c>
      <c r="Q52" s="23">
        <f>'Input data'!Q30-$C$47*((Q12-P12))</f>
        <v>1.516662</v>
      </c>
      <c r="R52" s="23">
        <f>'Input data'!R30-$C$47*((R12-Q12))</f>
        <v>1.4613350000000001</v>
      </c>
      <c r="S52" s="23">
        <f>'Input data'!S30-$C$47*((S12-R12))</f>
        <v>1.5350900000000001</v>
      </c>
      <c r="T52" s="23">
        <f>'Input data'!T30-$C$47*((T12-S12))</f>
        <v>1.564341</v>
      </c>
      <c r="U52" s="23">
        <f>'Input data'!U30-$C$47*((U12-T12))</f>
        <v>1.623864</v>
      </c>
      <c r="V52" s="23">
        <f>'Input data'!V30-$C$47*((V12-U12))</f>
        <v>1.675783</v>
      </c>
      <c r="W52" s="23">
        <f>'Input data'!W30-$C$47*((W12-V12))</f>
        <v>1.6641360000000001</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77.53389</v>
      </c>
      <c r="D57" s="32">
        <f>+C57+D58</f>
        <v>67.78423846018319</v>
      </c>
      <c r="E57" s="32">
        <f>+D57+E58</f>
        <v>63.018538203782732</v>
      </c>
      <c r="F57" s="32">
        <f>+E57+F58</f>
        <v>59.525230422292623</v>
      </c>
      <c r="G57" s="32">
        <f>+F57+G58</f>
        <v>59.308560515398618</v>
      </c>
      <c r="H57" s="32">
        <f t="shared" ref="H57:S57" si="10">+G57+H58</f>
        <v>59.914596328739648</v>
      </c>
      <c r="I57" s="32">
        <f t="shared" si="10"/>
        <v>61.274653837802468</v>
      </c>
      <c r="J57" s="32">
        <f t="shared" si="10"/>
        <v>62.708387815017893</v>
      </c>
      <c r="K57" s="32">
        <f t="shared" si="10"/>
        <v>63.946629207539544</v>
      </c>
      <c r="L57" s="32">
        <f t="shared" si="10"/>
        <v>65.272278453343446</v>
      </c>
      <c r="M57" s="32">
        <f t="shared" si="10"/>
        <v>66.690556664985635</v>
      </c>
      <c r="N57" s="32">
        <f t="shared" si="10"/>
        <v>68.157464005468739</v>
      </c>
      <c r="O57" s="32">
        <f t="shared" si="10"/>
        <v>69.653674850872676</v>
      </c>
      <c r="P57" s="32">
        <f t="shared" si="10"/>
        <v>71.220292369642237</v>
      </c>
      <c r="Q57" s="32">
        <f t="shared" si="10"/>
        <v>72.864471338427606</v>
      </c>
      <c r="R57" s="32">
        <f t="shared" si="10"/>
        <v>74.577156971796811</v>
      </c>
      <c r="S57" s="32">
        <f t="shared" si="10"/>
        <v>76.232042443998239</v>
      </c>
      <c r="T57" s="32">
        <f>+S57+T58</f>
        <v>77.847451383885442</v>
      </c>
      <c r="U57" s="32">
        <f>+T57+U58</f>
        <v>79.383908345564691</v>
      </c>
      <c r="V57" s="32">
        <f t="shared" ref="V57:W57" si="11">+U57+V58</f>
        <v>80.840914082626568</v>
      </c>
      <c r="W57" s="32">
        <f t="shared" si="11"/>
        <v>82.269167965247192</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-9.7496515398168047</v>
      </c>
      <c r="E58" s="33">
        <f>-E59+E67+E72</f>
        <v>-4.7657002564004571</v>
      </c>
      <c r="F58" s="33">
        <f>-F59+F67+F72</f>
        <v>-3.4933077814901097</v>
      </c>
      <c r="G58" s="33">
        <f>-G59+G67+G72</f>
        <v>-0.21666990689400259</v>
      </c>
      <c r="H58" s="33">
        <f t="shared" ref="H58:S58" si="12">-H59+H67+H72</f>
        <v>0.6060358133410304</v>
      </c>
      <c r="I58" s="33">
        <f t="shared" si="12"/>
        <v>1.3600575090628211</v>
      </c>
      <c r="J58" s="33">
        <f t="shared" si="12"/>
        <v>1.4337339772154274</v>
      </c>
      <c r="K58" s="33">
        <f t="shared" si="12"/>
        <v>1.2382413925216487</v>
      </c>
      <c r="L58" s="33">
        <f t="shared" si="12"/>
        <v>1.3256492458039009</v>
      </c>
      <c r="M58" s="33">
        <f t="shared" si="12"/>
        <v>1.4182782116421933</v>
      </c>
      <c r="N58" s="33">
        <f t="shared" si="12"/>
        <v>1.4669073404831079</v>
      </c>
      <c r="O58" s="33">
        <f t="shared" si="12"/>
        <v>1.4962108454039313</v>
      </c>
      <c r="P58" s="33">
        <f t="shared" si="12"/>
        <v>1.5666175187695552</v>
      </c>
      <c r="Q58" s="33">
        <f t="shared" si="12"/>
        <v>1.6441789687853705</v>
      </c>
      <c r="R58" s="33">
        <f t="shared" si="12"/>
        <v>1.7126856333692055</v>
      </c>
      <c r="S58" s="33">
        <f t="shared" si="12"/>
        <v>1.6548854722014259</v>
      </c>
      <c r="T58" s="33">
        <f>-T59+T67+T72</f>
        <v>1.6154089398872038</v>
      </c>
      <c r="U58" s="33">
        <f t="shared" ref="U58:W58" si="13">-U59+U67+U72</f>
        <v>1.5364569616792543</v>
      </c>
      <c r="V58" s="33">
        <f t="shared" si="13"/>
        <v>1.4570057370618827</v>
      </c>
      <c r="W58" s="33">
        <f t="shared" si="13"/>
        <v>1.4282538826206164</v>
      </c>
    </row>
    <row r="59" spans="2:48" outlineLevel="1" x14ac:dyDescent="0.2">
      <c r="B59" s="65" t="s">
        <v>78</v>
      </c>
      <c r="C59" s="34"/>
      <c r="D59" s="34">
        <f>D60+D61-D62-D63-D64-D65-D66</f>
        <v>1.4897575398168059</v>
      </c>
      <c r="E59" s="34">
        <f>E60+E61-E62-E63-E64-E65-E66</f>
        <v>1.0003652564004566</v>
      </c>
      <c r="F59" s="34">
        <f t="shared" ref="F59:R59" si="14">F60+F61-F62-F63-F64-F65-F66</f>
        <v>-0.98599861850989012</v>
      </c>
      <c r="G59" s="34">
        <f t="shared" si="14"/>
        <v>-1.108617893105998</v>
      </c>
      <c r="H59" s="34">
        <f t="shared" si="14"/>
        <v>-1.3927962955464053</v>
      </c>
      <c r="I59" s="34">
        <f t="shared" si="14"/>
        <v>-1.7716970931604146</v>
      </c>
      <c r="J59" s="34">
        <f t="shared" si="14"/>
        <v>-1.9611479055919281</v>
      </c>
      <c r="K59" s="34">
        <f t="shared" si="14"/>
        <v>-1.955186871446652</v>
      </c>
      <c r="L59" s="34">
        <f t="shared" si="14"/>
        <v>-1.9400279101535975</v>
      </c>
      <c r="M59" s="34">
        <f t="shared" si="14"/>
        <v>-1.920978080636103</v>
      </c>
      <c r="N59" s="34">
        <f t="shared" si="14"/>
        <v>-1.883145202593649</v>
      </c>
      <c r="O59" s="34">
        <f t="shared" si="14"/>
        <v>-1.832753294874383</v>
      </c>
      <c r="P59" s="34">
        <f t="shared" si="14"/>
        <v>-1.7918030310182544</v>
      </c>
      <c r="Q59" s="34">
        <f t="shared" si="14"/>
        <v>-1.7654510218735726</v>
      </c>
      <c r="R59" s="34">
        <f t="shared" si="14"/>
        <v>-1.735879448634519</v>
      </c>
      <c r="S59" s="34">
        <f>S60+S61-S62-S63-S64-S65-S66</f>
        <v>-1.679398412332147</v>
      </c>
      <c r="T59" s="34">
        <f>T60+T61-T62-T63-T64-T65-T66</f>
        <v>-1.6157977123321459</v>
      </c>
      <c r="U59" s="34">
        <f>U60+U61-U62-U63-U64-U65-U66</f>
        <v>-1.5416270123321372</v>
      </c>
      <c r="V59" s="34">
        <f t="shared" ref="V59:W59" si="15">V60+V61-V62-V63-V64-V65-V66</f>
        <v>-1.4669384908252354</v>
      </c>
      <c r="W59" s="34">
        <f t="shared" si="15"/>
        <v>-1.3974277908252342</v>
      </c>
    </row>
    <row r="60" spans="2:48" outlineLevel="1" x14ac:dyDescent="0.2">
      <c r="B60" s="64" t="s">
        <v>79</v>
      </c>
      <c r="C60" s="1"/>
      <c r="D60" s="1">
        <f>D12</f>
        <v>0.20019870000000001</v>
      </c>
      <c r="E60" s="1">
        <f>E12</f>
        <v>-0.118968</v>
      </c>
      <c r="F60" s="1">
        <f>F12</f>
        <v>-1.9611449999999999</v>
      </c>
      <c r="G60" s="1">
        <f t="shared" ref="G60:W60" si="16">IF(G12="",F60,G12)</f>
        <v>-1.9611449999999999</v>
      </c>
      <c r="H60" s="1">
        <f t="shared" si="16"/>
        <v>-1.9611449999999999</v>
      </c>
      <c r="I60" s="1">
        <f t="shared" si="16"/>
        <v>-1.9611449999999999</v>
      </c>
      <c r="J60" s="1">
        <f t="shared" si="16"/>
        <v>-1.9611449999999999</v>
      </c>
      <c r="K60" s="1">
        <f t="shared" si="16"/>
        <v>-1.9611449999999999</v>
      </c>
      <c r="L60" s="1">
        <f t="shared" si="16"/>
        <v>-1.9611449999999999</v>
      </c>
      <c r="M60" s="1">
        <f t="shared" si="16"/>
        <v>-1.9611449999999999</v>
      </c>
      <c r="N60" s="1">
        <f t="shared" si="16"/>
        <v>-1.9611449999999999</v>
      </c>
      <c r="O60" s="1">
        <f t="shared" si="16"/>
        <v>-1.9611449999999999</v>
      </c>
      <c r="P60" s="1">
        <f t="shared" si="16"/>
        <v>-1.9611449999999999</v>
      </c>
      <c r="Q60" s="1">
        <f t="shared" si="16"/>
        <v>-1.9611449999999999</v>
      </c>
      <c r="R60" s="1">
        <f t="shared" si="16"/>
        <v>-1.9611449999999999</v>
      </c>
      <c r="S60" s="1">
        <f t="shared" si="16"/>
        <v>-1.9611449999999999</v>
      </c>
      <c r="T60" s="1">
        <f t="shared" si="16"/>
        <v>-1.9611449999999999</v>
      </c>
      <c r="U60" s="1">
        <f t="shared" si="16"/>
        <v>-1.9611449999999999</v>
      </c>
      <c r="V60" s="1">
        <f t="shared" si="16"/>
        <v>-1.9611449999999999</v>
      </c>
      <c r="W60" s="1">
        <f t="shared" si="16"/>
        <v>-1.9611449999999999</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17">-$C$48*D30</f>
        <v>-1.5820706398168058</v>
      </c>
      <c r="E62" s="1">
        <f t="shared" si="17"/>
        <v>-1.1193332564004566</v>
      </c>
      <c r="F62" s="1">
        <f t="shared" si="17"/>
        <v>-0.97514638149010979</v>
      </c>
      <c r="G62" s="1">
        <f t="shared" si="17"/>
        <v>-0.85252710689400191</v>
      </c>
      <c r="H62" s="1">
        <f t="shared" si="17"/>
        <v>-0.56834870445359453</v>
      </c>
      <c r="I62" s="1">
        <f t="shared" si="17"/>
        <v>-0.1894479068395854</v>
      </c>
      <c r="J62" s="1">
        <f t="shared" si="17"/>
        <v>2.9055919282261478E-6</v>
      </c>
      <c r="K62" s="1">
        <f t="shared" si="17"/>
        <v>2.4714466543285241E-6</v>
      </c>
      <c r="L62" s="1">
        <f t="shared" si="17"/>
        <v>4.2101536012140169E-6</v>
      </c>
      <c r="M62" s="1">
        <f>-$C$48*M30</f>
        <v>5.0806361070132585E-6</v>
      </c>
      <c r="N62" s="1">
        <f t="shared" si="17"/>
        <v>2.902593656251007E-6</v>
      </c>
      <c r="O62" s="1">
        <f t="shared" si="17"/>
        <v>1.594874383348266E-6</v>
      </c>
      <c r="P62" s="1">
        <f t="shared" si="17"/>
        <v>2.0310182576754878E-6</v>
      </c>
      <c r="Q62" s="1">
        <f t="shared" si="17"/>
        <v>7.2187357638142655E-7</v>
      </c>
      <c r="R62" s="1">
        <f t="shared" si="17"/>
        <v>-1.5136547737437667E-7</v>
      </c>
      <c r="S62" s="1">
        <f t="shared" si="17"/>
        <v>-5.8766784845065705E-7</v>
      </c>
      <c r="T62" s="1">
        <f t="shared" si="17"/>
        <v>-5.8766784845065705E-7</v>
      </c>
      <c r="U62" s="1">
        <f>-$C$48*U30</f>
        <v>-5.8766785828723298E-7</v>
      </c>
      <c r="V62" s="1">
        <f t="shared" si="17"/>
        <v>1.5908252404495117E-6</v>
      </c>
      <c r="W62" s="1">
        <f t="shared" si="17"/>
        <v>1.5908252404495117E-6</v>
      </c>
    </row>
    <row r="63" spans="2:48" outlineLevel="1" x14ac:dyDescent="0.2">
      <c r="B63" s="64" t="s">
        <v>82</v>
      </c>
      <c r="C63" s="1"/>
      <c r="D63" s="1">
        <f t="shared" ref="D63:W63" si="18">-D14</f>
        <v>0.29251179999999999</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-6.8000000000019156E-3</v>
      </c>
      <c r="L64" s="1">
        <f>IF(L$56&lt;=$C$6,0,HLOOKUP(L$56,'Input data'!$C$9:$BB$26,12,FALSE)-HLOOKUP($C$6,'Input data'!$C$9:$BB$26,12,FALSE))</f>
        <v>-2.2800000000003706E-2</v>
      </c>
      <c r="M64" s="1">
        <f>IF(M$56&lt;=$C$6,0,HLOOKUP(M$56,'Input data'!$C$9:$BB$26,12,FALSE)-HLOOKUP($C$6,'Input data'!$C$9:$BB$26,12,FALSE))</f>
        <v>-4.2690000000003892E-2</v>
      </c>
      <c r="N64" s="1">
        <f>IF(N$56&lt;=$C$6,0,HLOOKUP(N$56,'Input data'!$C$9:$BB$26,12,FALSE)-HLOOKUP($C$6,'Input data'!$C$9:$BB$26,12,FALSE))</f>
        <v>-8.1360000000007204E-2</v>
      </c>
      <c r="O64" s="1">
        <f>IF(O$56&lt;=$C$6,0,HLOOKUP(O$56,'Input data'!$C$9:$BB$26,12,FALSE)-HLOOKUP($C$6,'Input data'!$C$9:$BB$26,12,FALSE))</f>
        <v>-0.13259000000000043</v>
      </c>
      <c r="P64" s="1">
        <f>IF(P$56&lt;=$C$6,0,HLOOKUP(P$56,'Input data'!$C$9:$BB$26,12,FALSE)-HLOOKUP($C$6,'Input data'!$C$9:$BB$26,12,FALSE))</f>
        <v>-0.17438000000000287</v>
      </c>
      <c r="Q64" s="1">
        <f>IF(Q$56&lt;=$C$6,0,HLOOKUP(Q$56,'Input data'!$C$9:$BB$26,12,FALSE)-HLOOKUP($C$6,'Input data'!$C$9:$BB$26,12,FALSE))</f>
        <v>-0.2015700000000038</v>
      </c>
      <c r="R64" s="1">
        <f>IF(R$56&lt;=$C$6,0,HLOOKUP(R$56,'Input data'!$C$9:$BB$26,12,FALSE)-HLOOKUP($C$6,'Input data'!$C$9:$BB$26,12,FALSE))</f>
        <v>-0.23198000000000363</v>
      </c>
      <c r="S64" s="1">
        <f>IF(S$56&lt;=$C$6,0,HLOOKUP(S$56,'Input data'!$C$9:$BB$26,12,FALSE)-HLOOKUP($C$6,'Input data'!$C$9:$BB$26,12,FALSE))</f>
        <v>-0.28930000000000433</v>
      </c>
      <c r="T64" s="1">
        <f>IF(T$56&lt;=$C$6,0,HLOOKUP(T$56,'Input data'!$C$9:$BB$26,12,FALSE)-HLOOKUP($C$6,'Input data'!$C$9:$BB$26,12,FALSE))</f>
        <v>-0.35374000000000549</v>
      </c>
      <c r="U64" s="1">
        <f>IF(U$56&lt;=$C$6,0,HLOOKUP(U$56,'Input data'!$C$9:$BB$26,12,FALSE)-HLOOKUP($C$6,'Input data'!$C$9:$BB$26,12,FALSE))</f>
        <v>-0.42875000000000441</v>
      </c>
      <c r="V64" s="1">
        <f>IF(V$56&lt;=$C$6,0,HLOOKUP(V$56,'Input data'!$C$9:$BB$26,12,FALSE)-HLOOKUP($C$6,'Input data'!$C$9:$BB$26,12,FALSE))</f>
        <v>-0.50428000000000495</v>
      </c>
      <c r="W64" s="1">
        <f>IF(W$56&lt;=$C$6,0,HLOOKUP(W$56,'Input data'!$C$9:$BB$26,12,FALSE)-HLOOKUP($C$6,'Input data'!$C$9:$BB$26,12,FALSE))</f>
        <v>-0.57463000000000619</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8.3939999999993464E-4</v>
      </c>
      <c r="L65" s="1">
        <f>IF(L$56&lt;=$C$6,0,-HLOOKUP(L$56,'Input data'!$C$9:$BB$26,18,FALSE)+HLOOKUP($C$6,'Input data'!$C$9:$BB$26,18,FALSE))</f>
        <v>1.6786999999999219E-3</v>
      </c>
      <c r="M65" s="1">
        <f>IF(M$56&lt;=$C$6,0,-HLOOKUP(M$56,'Input data'!$C$9:$BB$26,18,FALSE)+HLOOKUP($C$6,'Input data'!$C$9:$BB$26,18,FALSE))</f>
        <v>2.5180000000000202E-3</v>
      </c>
      <c r="N65" s="1">
        <f>IF(N$56&lt;=$C$6,0,-HLOOKUP(N$56,'Input data'!$C$9:$BB$26,18,FALSE)+HLOOKUP($C$6,'Input data'!$C$9:$BB$26,18,FALSE))</f>
        <v>3.3573000000000075E-3</v>
      </c>
      <c r="O65" s="1">
        <f>IF(O$56&lt;=$C$6,0,-HLOOKUP(O$56,'Input data'!$C$9:$BB$26,18,FALSE)+HLOOKUP($C$6,'Input data'!$C$9:$BB$26,18,FALSE))</f>
        <v>4.1966999999999421E-3</v>
      </c>
      <c r="P65" s="1">
        <f>IF(P$56&lt;=$C$6,0,-HLOOKUP(P$56,'Input data'!$C$9:$BB$26,18,FALSE)+HLOOKUP($C$6,'Input data'!$C$9:$BB$26,18,FALSE))</f>
        <v>5.0359999999999294E-3</v>
      </c>
      <c r="Q65" s="1">
        <f>IF(Q$56&lt;=$C$6,0,-HLOOKUP(Q$56,'Input data'!$C$9:$BB$26,18,FALSE)+HLOOKUP($C$6,'Input data'!$C$9:$BB$26,18,FALSE))</f>
        <v>5.8753000000000277E-3</v>
      </c>
      <c r="R65" s="1">
        <f>IF(R$56&lt;=$C$6,0,-HLOOKUP(R$56,'Input data'!$C$9:$BB$26,18,FALSE)+HLOOKUP($C$6,'Input data'!$C$9:$BB$26,18,FALSE))</f>
        <v>6.714600000000015E-3</v>
      </c>
      <c r="S65" s="1">
        <f>IF(S$56&lt;=$C$6,0,-HLOOKUP(S$56,'Input data'!$C$9:$BB$26,18,FALSE)+HLOOKUP($C$6,'Input data'!$C$9:$BB$26,18,FALSE))</f>
        <v>7.5539999999999496E-3</v>
      </c>
      <c r="T65" s="1">
        <f>IF(T$56&lt;=$C$6,0,-HLOOKUP(T$56,'Input data'!$C$9:$BB$26,18,FALSE)+HLOOKUP($C$6,'Input data'!$C$9:$BB$26,18,FALSE))</f>
        <v>8.3932999999999369E-3</v>
      </c>
      <c r="U65" s="189">
        <f>IF(U$56&lt;=$C$6,0,-HLOOKUP(U$56,'Input data'!$C$9:$BB$26,18,FALSE)+HLOOKUP($C$6,'Input data'!$C$9:$BB$26,18,FALSE))</f>
        <v>9.2325999999999242E-3</v>
      </c>
      <c r="V65" s="189">
        <f>IF(V$56&lt;=$C$6,0,-HLOOKUP(V$56,'Input data'!$C$9:$BB$26,18,FALSE)+HLOOKUP($C$6,'Input data'!$C$9:$BB$26,18,FALSE))</f>
        <v>1.0071900000000023E-2</v>
      </c>
      <c r="W65" s="189">
        <f>IF(W$56&lt;=$C$6,0,-HLOOKUP(W$56,'Input data'!$C$9:$BB$26,18,FALSE)+HLOOKUP($C$6,'Input data'!$C$9:$BB$26,18,FALSE))</f>
        <v>1.091120000000001E-2</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19">SUM(D68:D71)</f>
        <v>-9.3119859999999992</v>
      </c>
      <c r="E67" s="34">
        <f t="shared" si="19"/>
        <v>-5.5208849999999998</v>
      </c>
      <c r="F67" s="34">
        <f t="shared" si="19"/>
        <v>-3.568419</v>
      </c>
      <c r="G67" s="34">
        <f t="shared" si="19"/>
        <v>-1.3291110000000006</v>
      </c>
      <c r="H67" s="34">
        <f t="shared" si="19"/>
        <v>-0.78676048220537487</v>
      </c>
      <c r="I67" s="34">
        <f t="shared" si="19"/>
        <v>-0.41163958409759338</v>
      </c>
      <c r="J67" s="34">
        <f t="shared" si="19"/>
        <v>-0.52741392837650058</v>
      </c>
      <c r="K67" s="34">
        <f t="shared" si="19"/>
        <v>-0.71694547892500338</v>
      </c>
      <c r="L67" s="34">
        <f t="shared" si="19"/>
        <v>-0.61437866434969668</v>
      </c>
      <c r="M67" s="34">
        <f t="shared" si="19"/>
        <v>-0.50269986899390973</v>
      </c>
      <c r="N67" s="34">
        <f t="shared" si="19"/>
        <v>-0.41623786211054115</v>
      </c>
      <c r="O67" s="34">
        <f t="shared" si="19"/>
        <v>-0.33654244947045164</v>
      </c>
      <c r="P67" s="34">
        <f t="shared" ref="P67:W67" si="20">SUM(P68:P71)</f>
        <v>-0.2251855122486992</v>
      </c>
      <c r="Q67" s="34">
        <f t="shared" si="20"/>
        <v>-0.1212720530882021</v>
      </c>
      <c r="R67" s="34">
        <f t="shared" si="20"/>
        <v>-2.31938152653135E-2</v>
      </c>
      <c r="S67" s="34">
        <f t="shared" si="20"/>
        <v>-2.4512940130721139E-2</v>
      </c>
      <c r="T67" s="34">
        <f t="shared" si="20"/>
        <v>-3.8877244494206487E-4</v>
      </c>
      <c r="U67" s="34">
        <f t="shared" si="20"/>
        <v>-5.170050652882896E-3</v>
      </c>
      <c r="V67" s="34">
        <f t="shared" si="20"/>
        <v>-9.9327537633526752E-3</v>
      </c>
      <c r="W67" s="34">
        <f t="shared" si="20"/>
        <v>3.0826091795382204E-2</v>
      </c>
    </row>
    <row r="68" spans="2:23" outlineLevel="1" x14ac:dyDescent="0.2">
      <c r="B68" s="64" t="s">
        <v>87</v>
      </c>
      <c r="C68" s="23"/>
      <c r="D68" s="23">
        <f t="shared" ref="D68:E68" si="21">C57*D36/100*(1/(1+D33/100))</f>
        <v>1.3603259114140902</v>
      </c>
      <c r="E68" s="23">
        <f t="shared" si="21"/>
        <v>1.6914749590209448</v>
      </c>
      <c r="F68" s="23">
        <f>E57*F36/100*(1/(1+F33/100))</f>
        <v>1.6292561590832533</v>
      </c>
      <c r="G68" s="23">
        <f>F57*G36/100*(1/(1+G33/100))</f>
        <v>1.5955209447890555</v>
      </c>
      <c r="H68" s="23">
        <f t="shared" ref="H68:W68" si="22">G57*H36/100*(1/(1+H33/100))</f>
        <v>1.6577423811931393</v>
      </c>
      <c r="I68" s="23">
        <f t="shared" si="22"/>
        <v>1.7442334338665102</v>
      </c>
      <c r="J68" s="23">
        <f>I57*J36/100*(1/(1+J33/100))</f>
        <v>1.8439710275909762</v>
      </c>
      <c r="K68" s="23">
        <f t="shared" si="22"/>
        <v>1.9479635580855919</v>
      </c>
      <c r="L68" s="23">
        <f t="shared" si="22"/>
        <v>2.0580119946272628</v>
      </c>
      <c r="M68" s="23">
        <f t="shared" si="22"/>
        <v>2.1743068855706658</v>
      </c>
      <c r="N68" s="23">
        <f t="shared" si="22"/>
        <v>2.2960789864956723</v>
      </c>
      <c r="O68" s="23">
        <f t="shared" si="22"/>
        <v>2.4224926691595412</v>
      </c>
      <c r="P68" s="23">
        <f t="shared" si="22"/>
        <v>2.5400727779987409</v>
      </c>
      <c r="Q68" s="23">
        <f t="shared" si="22"/>
        <v>2.6505505882364919</v>
      </c>
      <c r="R68" s="23">
        <f t="shared" si="22"/>
        <v>2.7556275246937934</v>
      </c>
      <c r="S68" s="23">
        <f t="shared" si="22"/>
        <v>2.8524889068559514</v>
      </c>
      <c r="T68" s="23">
        <f t="shared" si="22"/>
        <v>2.9418880334509483</v>
      </c>
      <c r="U68" s="23">
        <f t="shared" si="22"/>
        <v>3.0232018886284004</v>
      </c>
      <c r="V68" s="23">
        <f t="shared" si="22"/>
        <v>3.0966809572416092</v>
      </c>
      <c r="W68" s="23">
        <f t="shared" si="22"/>
        <v>3.1646820943942524</v>
      </c>
    </row>
    <row r="69" spans="2:23" outlineLevel="1" x14ac:dyDescent="0.2">
      <c r="B69" s="64" t="s">
        <v>88</v>
      </c>
      <c r="C69" s="23"/>
      <c r="D69" s="23">
        <f t="shared" ref="D69:W69" si="23">-C57*(D24/100)*(1/(1+D33/100))</f>
        <v>-4.6896142044055606</v>
      </c>
      <c r="E69" s="23">
        <f t="shared" si="23"/>
        <v>-1.8550670815209325</v>
      </c>
      <c r="F69" s="23">
        <f t="shared" si="23"/>
        <v>-1.9069134131170997</v>
      </c>
      <c r="G69" s="23">
        <f t="shared" si="23"/>
        <v>-1.6766287254985182</v>
      </c>
      <c r="H69" s="23">
        <f t="shared" si="23"/>
        <v>-1.16702389839488</v>
      </c>
      <c r="I69" s="23">
        <f t="shared" si="23"/>
        <v>-0.83678585742442391</v>
      </c>
      <c r="J69" s="23">
        <f t="shared" si="23"/>
        <v>-0.99318038630308914</v>
      </c>
      <c r="K69" s="23">
        <f t="shared" si="23"/>
        <v>-1.2246287801125977</v>
      </c>
      <c r="L69" s="23">
        <f t="shared" si="23"/>
        <v>-1.1732834089245725</v>
      </c>
      <c r="M69" s="23">
        <f t="shared" si="23"/>
        <v>-1.1158352064040598</v>
      </c>
      <c r="N69" s="23">
        <f t="shared" si="23"/>
        <v>-1.0855936495050915</v>
      </c>
      <c r="O69" s="23">
        <f t="shared" si="23"/>
        <v>-1.0642371350712874</v>
      </c>
      <c r="P69" s="23">
        <f t="shared" si="23"/>
        <v>-1.0514745373022201</v>
      </c>
      <c r="Q69" s="23">
        <f t="shared" si="23"/>
        <v>-1.0381319299508966</v>
      </c>
      <c r="R69" s="23">
        <f t="shared" si="23"/>
        <v>-1.0241861334051252</v>
      </c>
      <c r="S69" s="23">
        <f t="shared" si="23"/>
        <v>-1.1006619113054521</v>
      </c>
      <c r="T69" s="23">
        <f t="shared" si="23"/>
        <v>-1.1465018526807484</v>
      </c>
      <c r="U69" s="23">
        <f t="shared" si="23"/>
        <v>-1.214960096232333</v>
      </c>
      <c r="V69" s="23">
        <f t="shared" si="23"/>
        <v>-1.2782419363458624</v>
      </c>
      <c r="W69" s="23">
        <f t="shared" si="23"/>
        <v>-1.2931511280506449</v>
      </c>
    </row>
    <row r="70" spans="2:23" outlineLevel="1" x14ac:dyDescent="0.2">
      <c r="B70" s="64" t="s">
        <v>89</v>
      </c>
      <c r="C70" s="23"/>
      <c r="D70" s="23">
        <f t="shared" ref="D70:W70" si="24">-C57*D42/100*(1/(1+D42/100))</f>
        <v>-6.109357393135542</v>
      </c>
      <c r="E70" s="23">
        <f t="shared" si="24"/>
        <v>-5.3233348222517805</v>
      </c>
      <c r="F70" s="23">
        <f t="shared" si="24"/>
        <v>-3.3016517046855496</v>
      </c>
      <c r="G70" s="23">
        <f t="shared" si="24"/>
        <v>-1.2537493739329504</v>
      </c>
      <c r="H70" s="23">
        <f t="shared" si="24"/>
        <v>-1.2774789650036342</v>
      </c>
      <c r="I70" s="23">
        <f t="shared" si="24"/>
        <v>-1.3190871605396797</v>
      </c>
      <c r="J70" s="23">
        <f t="shared" si="24"/>
        <v>-1.3782045696643876</v>
      </c>
      <c r="K70" s="23">
        <f t="shared" si="24"/>
        <v>-1.4402802568979975</v>
      </c>
      <c r="L70" s="23">
        <f t="shared" si="24"/>
        <v>-1.499107250052387</v>
      </c>
      <c r="M70" s="23">
        <f t="shared" si="24"/>
        <v>-1.5611715481605157</v>
      </c>
      <c r="N70" s="23">
        <f t="shared" si="24"/>
        <v>-1.626723199101122</v>
      </c>
      <c r="O70" s="23">
        <f t="shared" si="24"/>
        <v>-1.6947979835587055</v>
      </c>
      <c r="P70" s="23">
        <f t="shared" si="24"/>
        <v>-1.71378375294522</v>
      </c>
      <c r="Q70" s="23">
        <f t="shared" si="24"/>
        <v>-1.7336907113737974</v>
      </c>
      <c r="R70" s="23">
        <f t="shared" si="24"/>
        <v>-1.7546352065539816</v>
      </c>
      <c r="S70" s="23">
        <f t="shared" si="24"/>
        <v>-1.7763399356812204</v>
      </c>
      <c r="T70" s="23">
        <f t="shared" si="24"/>
        <v>-1.7957749532151419</v>
      </c>
      <c r="U70" s="23">
        <f t="shared" si="24"/>
        <v>-1.8134118430489503</v>
      </c>
      <c r="V70" s="23">
        <f t="shared" si="24"/>
        <v>-1.8283717746590995</v>
      </c>
      <c r="W70" s="23">
        <f t="shared" si="24"/>
        <v>-1.8407048745482253</v>
      </c>
    </row>
    <row r="71" spans="2:23" outlineLevel="1" x14ac:dyDescent="0.2">
      <c r="B71" s="64" t="s">
        <v>90</v>
      </c>
      <c r="C71" s="35"/>
      <c r="D71" s="35">
        <f>'Baseline NFPC'!D70</f>
        <v>0.12665968612701306</v>
      </c>
      <c r="E71" s="35">
        <f>'Baseline NFPC'!E70</f>
        <v>-3.3958055248231922E-2</v>
      </c>
      <c r="F71" s="35">
        <f>'Baseline NFPC'!F70</f>
        <v>1.088995871939602E-2</v>
      </c>
      <c r="G71" s="35">
        <f>'Baseline NFPC'!G70</f>
        <v>5.7461546424124599E-3</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1.052092</v>
      </c>
      <c r="E72" s="36">
        <f>'Input data'!E16</f>
        <v>1.7555499999999999</v>
      </c>
      <c r="F72" s="36">
        <f>'Input data'!F16</f>
        <v>-0.91088740000000001</v>
      </c>
      <c r="G72" s="36">
        <f>'Input data'!G16</f>
        <v>3.8232000000000001E-3</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25">D15</f>
        <v>-5.1615739999999999</v>
      </c>
      <c r="E73" s="23">
        <f t="shared" si="25"/>
        <v>2.9723419999999998</v>
      </c>
      <c r="F73" s="23">
        <f t="shared" si="25"/>
        <v>-1.2972429999999999</v>
      </c>
      <c r="G73" s="23">
        <f t="shared" si="25"/>
        <v>-0.2</v>
      </c>
      <c r="H73" s="23">
        <f t="shared" si="25"/>
        <v>0</v>
      </c>
      <c r="I73" s="23">
        <f t="shared" si="25"/>
        <v>0</v>
      </c>
      <c r="J73" s="23">
        <f t="shared" si="25"/>
        <v>0</v>
      </c>
      <c r="K73" s="23">
        <f t="shared" si="25"/>
        <v>0</v>
      </c>
      <c r="L73" s="23">
        <f t="shared" si="25"/>
        <v>0</v>
      </c>
      <c r="M73" s="23">
        <f t="shared" si="25"/>
        <v>0</v>
      </c>
      <c r="N73" s="23">
        <f t="shared" si="25"/>
        <v>0</v>
      </c>
      <c r="O73" s="23">
        <f t="shared" si="25"/>
        <v>0</v>
      </c>
      <c r="P73" s="23">
        <f t="shared" si="25"/>
        <v>0</v>
      </c>
      <c r="Q73" s="23">
        <f t="shared" si="25"/>
        <v>0</v>
      </c>
      <c r="R73" s="23">
        <f t="shared" si="25"/>
        <v>0</v>
      </c>
      <c r="S73" s="23">
        <f t="shared" si="25"/>
        <v>0</v>
      </c>
      <c r="T73" s="23">
        <f t="shared" si="25"/>
        <v>0</v>
      </c>
      <c r="U73" s="23">
        <f t="shared" si="25"/>
        <v>0</v>
      </c>
      <c r="V73" s="23">
        <f t="shared" si="25"/>
        <v>0</v>
      </c>
      <c r="W73" s="23">
        <f t="shared" si="25"/>
        <v>0</v>
      </c>
    </row>
    <row r="74" spans="2:23" outlineLevel="1" x14ac:dyDescent="0.2">
      <c r="B74" s="70" t="s">
        <v>93</v>
      </c>
      <c r="C74" s="35"/>
      <c r="D74" s="35">
        <f>+D72-D73</f>
        <v>6.2136659999999999</v>
      </c>
      <c r="E74" s="35">
        <f t="shared" ref="E74:W74" si="26">+E72-E73</f>
        <v>-1.2167919999999999</v>
      </c>
      <c r="F74" s="35">
        <f t="shared" si="26"/>
        <v>0.38635559999999991</v>
      </c>
      <c r="G74" s="35">
        <f t="shared" si="26"/>
        <v>0.20382320000000001</v>
      </c>
      <c r="H74" s="35">
        <f t="shared" si="26"/>
        <v>0</v>
      </c>
      <c r="I74" s="35">
        <f t="shared" si="26"/>
        <v>0</v>
      </c>
      <c r="J74" s="35">
        <f t="shared" si="26"/>
        <v>0</v>
      </c>
      <c r="K74" s="35">
        <f t="shared" si="26"/>
        <v>0</v>
      </c>
      <c r="L74" s="35">
        <f t="shared" si="26"/>
        <v>0</v>
      </c>
      <c r="M74" s="35">
        <f t="shared" si="26"/>
        <v>0</v>
      </c>
      <c r="N74" s="35">
        <f t="shared" si="26"/>
        <v>0</v>
      </c>
      <c r="O74" s="35">
        <f t="shared" si="26"/>
        <v>0</v>
      </c>
      <c r="P74" s="35">
        <f t="shared" si="26"/>
        <v>0</v>
      </c>
      <c r="Q74" s="35">
        <f t="shared" si="26"/>
        <v>0</v>
      </c>
      <c r="R74" s="35">
        <f t="shared" si="26"/>
        <v>0</v>
      </c>
      <c r="S74" s="35">
        <f t="shared" si="26"/>
        <v>0</v>
      </c>
      <c r="T74" s="35">
        <f t="shared" si="26"/>
        <v>0</v>
      </c>
      <c r="U74" s="35">
        <f t="shared" si="26"/>
        <v>0</v>
      </c>
      <c r="V74" s="35">
        <f t="shared" si="26"/>
        <v>0</v>
      </c>
      <c r="W74" s="35">
        <f t="shared" si="26"/>
        <v>0</v>
      </c>
    </row>
    <row r="75" spans="2:23" ht="10.5" customHeight="1" outlineLevel="1" x14ac:dyDescent="0.2"/>
    <row r="76" spans="2:23" ht="10.5" customHeight="1" outlineLevel="1" x14ac:dyDescent="0.2">
      <c r="B76" s="71" t="s">
        <v>94</v>
      </c>
    </row>
    <row r="77" spans="2:23" x14ac:dyDescent="0.2">
      <c r="B77" s="62" t="s">
        <v>19</v>
      </c>
      <c r="C77" s="62"/>
      <c r="D77" s="63">
        <f>D59-D68</f>
        <v>0.12943162840271571</v>
      </c>
      <c r="E77" s="63">
        <f t="shared" ref="E77:W77" si="27">E59-E68</f>
        <v>-0.69110970262048821</v>
      </c>
      <c r="F77" s="63">
        <f t="shared" si="27"/>
        <v>-2.6152547775931434</v>
      </c>
      <c r="G77" s="63">
        <f>G59-G68</f>
        <v>-2.7041388378950533</v>
      </c>
      <c r="H77" s="63">
        <f t="shared" si="27"/>
        <v>-3.0505386767395448</v>
      </c>
      <c r="I77" s="63">
        <f t="shared" si="27"/>
        <v>-3.5159305270269248</v>
      </c>
      <c r="J77" s="63">
        <f t="shared" si="27"/>
        <v>-3.8051189331829045</v>
      </c>
      <c r="K77" s="63">
        <f t="shared" si="27"/>
        <v>-3.9031504295322437</v>
      </c>
      <c r="L77" s="63">
        <f t="shared" si="27"/>
        <v>-3.9980399047808604</v>
      </c>
      <c r="M77" s="63">
        <f t="shared" si="27"/>
        <v>-4.0952849662067692</v>
      </c>
      <c r="N77" s="63">
        <f t="shared" si="27"/>
        <v>-4.1792241890893216</v>
      </c>
      <c r="O77" s="63">
        <f t="shared" si="27"/>
        <v>-4.2552459640339242</v>
      </c>
      <c r="P77" s="63">
        <f t="shared" si="27"/>
        <v>-4.3318758090169958</v>
      </c>
      <c r="Q77" s="63">
        <f t="shared" si="27"/>
        <v>-4.4160016101100643</v>
      </c>
      <c r="R77" s="63">
        <f t="shared" si="27"/>
        <v>-4.4915069733283124</v>
      </c>
      <c r="S77" s="63">
        <f t="shared" si="27"/>
        <v>-4.5318873191880984</v>
      </c>
      <c r="T77" s="63">
        <f t="shared" si="27"/>
        <v>-4.5576857457830942</v>
      </c>
      <c r="U77" s="63">
        <f t="shared" si="27"/>
        <v>-4.5648289009605376</v>
      </c>
      <c r="V77" s="63">
        <f t="shared" si="27"/>
        <v>-4.5636194480668451</v>
      </c>
      <c r="W77" s="63">
        <f t="shared" si="27"/>
        <v>-4.5621098852194866</v>
      </c>
    </row>
    <row r="78" spans="2:23" x14ac:dyDescent="0.2">
      <c r="B78" s="15" t="s">
        <v>20</v>
      </c>
      <c r="D78" s="23">
        <f>D60-D68-D64-D65-D66</f>
        <v>-1.1601272114140901</v>
      </c>
      <c r="E78" s="23">
        <f t="shared" ref="E78:W78" si="28">E60-E68-E64-E65-E66</f>
        <v>-1.8104429590209448</v>
      </c>
      <c r="F78" s="23">
        <f t="shared" si="28"/>
        <v>-3.5904011590832532</v>
      </c>
      <c r="G78" s="23">
        <f t="shared" si="28"/>
        <v>-3.5566659447890556</v>
      </c>
      <c r="H78" s="23">
        <f t="shared" si="28"/>
        <v>-3.6188873811931392</v>
      </c>
      <c r="I78" s="23">
        <f t="shared" si="28"/>
        <v>-3.7053784338665103</v>
      </c>
      <c r="J78" s="23">
        <f t="shared" si="28"/>
        <v>-3.8051160275909761</v>
      </c>
      <c r="K78" s="23">
        <f t="shared" si="28"/>
        <v>-3.9031479580855897</v>
      </c>
      <c r="L78" s="23">
        <f t="shared" si="28"/>
        <v>-3.9980356946272591</v>
      </c>
      <c r="M78" s="23">
        <f t="shared" si="28"/>
        <v>-4.0952798855706618</v>
      </c>
      <c r="N78" s="23">
        <f t="shared" si="28"/>
        <v>-4.1792212864956655</v>
      </c>
      <c r="O78" s="23">
        <f t="shared" si="28"/>
        <v>-4.2552443691595405</v>
      </c>
      <c r="P78" s="23">
        <f t="shared" si="28"/>
        <v>-4.3318737779987373</v>
      </c>
      <c r="Q78" s="23">
        <f t="shared" si="28"/>
        <v>-4.4160008882364874</v>
      </c>
      <c r="R78" s="23">
        <f t="shared" si="28"/>
        <v>-4.4915071246937899</v>
      </c>
      <c r="S78" s="23">
        <f t="shared" si="28"/>
        <v>-4.531887906855947</v>
      </c>
      <c r="T78" s="23">
        <f t="shared" si="28"/>
        <v>-4.5576863334509428</v>
      </c>
      <c r="U78" s="23">
        <f t="shared" si="28"/>
        <v>-4.564829488628396</v>
      </c>
      <c r="V78" s="23">
        <f t="shared" si="28"/>
        <v>-4.5636178572416037</v>
      </c>
      <c r="W78" s="23">
        <f t="shared" si="28"/>
        <v>-4.5621082943942461</v>
      </c>
    </row>
    <row r="79" spans="2:23" x14ac:dyDescent="0.2">
      <c r="B79" s="24" t="s">
        <v>95</v>
      </c>
      <c r="C79" s="24"/>
      <c r="D79" s="239">
        <f>'Input data'!D45</f>
        <v>13.332508026209865</v>
      </c>
      <c r="E79" s="239">
        <f>'Input data'!E45</f>
        <v>17.321552756469458</v>
      </c>
      <c r="F79" s="239">
        <f>'Input data'!F45</f>
        <v>14.354198279852639</v>
      </c>
      <c r="G79" s="35">
        <f>'Input data'!G33+G42-(G$12-F$12)/'Input data'!$C$64*100</f>
        <v>5.3936890000000002</v>
      </c>
      <c r="H79" s="35">
        <f>'Input data'!H33+H42-(H$12-G$12)/'Input data'!$C$64*100</f>
        <v>4.90003425</v>
      </c>
      <c r="I79" s="35">
        <f>'Input data'!I33+I42-(I$12-H$12)/'Input data'!$C$64*100</f>
        <v>4.5639384999999999</v>
      </c>
      <c r="J79" s="35">
        <f>'Input data'!J33+J42-(J$12-I$12)/'Input data'!$C$64*100</f>
        <v>4.421964749999999</v>
      </c>
      <c r="K79" s="35">
        <f>'Input data'!K33+K42-(K$12-J$12)/'Input data'!$C$64*100</f>
        <v>4.390352</v>
      </c>
      <c r="L79" s="35">
        <f>'Input data'!L33+L42-(L$12-K$12)/'Input data'!$C$64*100</f>
        <v>4.3153982500000003</v>
      </c>
      <c r="M79" s="35">
        <f>'Input data'!M33+M42-(M$12-L$12)/'Input data'!$C$64*100</f>
        <v>4.2330125000000001</v>
      </c>
      <c r="N79" s="35">
        <f>'Input data'!N33+N42-(N$12-M$12)/'Input data'!$C$64*100</f>
        <v>4.1970077499999991</v>
      </c>
      <c r="O79" s="35">
        <f>'Input data'!O33+O42-(O$12-N$12)/'Input data'!$C$64*100</f>
        <v>4.1773100000000003</v>
      </c>
      <c r="P79" s="35">
        <f>'Input data'!P33+P42-(P$12-O$12)/'Input data'!$C$64*100</f>
        <v>4.0944839999999996</v>
      </c>
      <c r="Q79" s="35">
        <f>'Input data'!Q33+Q42-(Q$12-P$12)/'Input data'!$C$64*100</f>
        <v>4.0116589999999999</v>
      </c>
      <c r="R79" s="35">
        <f>'Input data'!R33+R42-(R$12-Q$12)/'Input data'!$C$64*100</f>
        <v>3.928833</v>
      </c>
      <c r="S79" s="35">
        <f>'Input data'!S33+S42-(S$12-R$12)/'Input data'!$C$64*100</f>
        <v>3.9750889999999997</v>
      </c>
      <c r="T79" s="35">
        <f>'Input data'!T33+T42-(T$12-S$12)/'Input data'!$C$64*100</f>
        <v>3.9768409999999994</v>
      </c>
      <c r="U79" s="35">
        <f>'Input data'!U33+U42-(U$12-T$12)/'Input data'!$C$64*100</f>
        <v>4.008864</v>
      </c>
      <c r="V79" s="35">
        <f>'Input data'!V33+V42-(V$12-U$12)/'Input data'!$C$64*100</f>
        <v>4.0332879999999998</v>
      </c>
      <c r="W79" s="35">
        <f>'Input data'!W33+W42-(W$12-V$12)/'Input data'!$C$64*100</f>
        <v>3.9941360000000001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4.8199066249999998</v>
      </c>
      <c r="E81" s="23"/>
      <c r="F81" s="23"/>
      <c r="G81" s="23"/>
      <c r="H81" s="23"/>
      <c r="I81" s="25"/>
      <c r="J81" s="25"/>
      <c r="K81" s="25"/>
      <c r="L81" s="25"/>
      <c r="M81" s="23"/>
      <c r="N81" s="23"/>
      <c r="O81" s="23"/>
      <c r="P81" s="23"/>
      <c r="Q81" s="23"/>
      <c r="R81" s="23"/>
      <c r="S81" s="23"/>
      <c r="T81" s="23"/>
      <c r="U81" s="23"/>
      <c r="V81" s="23"/>
      <c r="W81" s="23"/>
    </row>
    <row r="82" spans="2:23" x14ac:dyDescent="0.2">
      <c r="B82" s="68"/>
      <c r="C82" s="62"/>
      <c r="D82" s="274"/>
      <c r="E82" s="23"/>
      <c r="F82" s="23"/>
      <c r="G82" s="23"/>
      <c r="H82" s="23"/>
      <c r="I82" s="25"/>
      <c r="J82" s="25"/>
      <c r="K82" s="25"/>
      <c r="L82" s="25"/>
      <c r="M82" s="23"/>
      <c r="N82" s="23"/>
      <c r="O82" s="23"/>
      <c r="P82" s="23"/>
      <c r="Q82" s="23"/>
      <c r="R82" s="23"/>
      <c r="S82" s="23"/>
      <c r="T82" s="23"/>
      <c r="U82" s="23"/>
      <c r="V82" s="23"/>
      <c r="W82" s="23"/>
    </row>
    <row r="83" spans="2:23" x14ac:dyDescent="0.2">
      <c r="B83" s="37" t="s">
        <v>150</v>
      </c>
      <c r="C83" s="37"/>
      <c r="D83" s="37"/>
      <c r="E83" s="37"/>
      <c r="F83" s="37"/>
      <c r="G83" s="184"/>
      <c r="H83" s="184"/>
      <c r="I83" s="184"/>
      <c r="J83" s="184"/>
      <c r="K83" s="184">
        <f t="shared" ref="K83:W83" si="29">IF(K57&lt;J57,0,1)</f>
        <v>1</v>
      </c>
      <c r="L83" s="184">
        <f t="shared" si="29"/>
        <v>1</v>
      </c>
      <c r="M83" s="184">
        <f t="shared" si="29"/>
        <v>1</v>
      </c>
      <c r="N83" s="184">
        <f t="shared" si="29"/>
        <v>1</v>
      </c>
      <c r="O83" s="184">
        <f t="shared" si="29"/>
        <v>1</v>
      </c>
      <c r="P83" s="184">
        <f t="shared" si="29"/>
        <v>1</v>
      </c>
      <c r="Q83" s="184">
        <f t="shared" si="29"/>
        <v>1</v>
      </c>
      <c r="R83" s="184">
        <f t="shared" si="29"/>
        <v>1</v>
      </c>
      <c r="S83" s="184">
        <f t="shared" si="29"/>
        <v>1</v>
      </c>
      <c r="T83" s="184">
        <f t="shared" si="29"/>
        <v>1</v>
      </c>
      <c r="U83" s="63">
        <f t="shared" si="29"/>
        <v>1</v>
      </c>
      <c r="V83" s="63">
        <f t="shared" si="29"/>
        <v>1</v>
      </c>
      <c r="W83" s="63">
        <f t="shared" si="29"/>
        <v>1</v>
      </c>
    </row>
    <row r="84" spans="2:23" x14ac:dyDescent="0.2">
      <c r="B84" s="62"/>
      <c r="C84" s="62"/>
      <c r="D84" s="63"/>
      <c r="E84" s="23"/>
      <c r="F84" s="23"/>
      <c r="G84" s="23"/>
      <c r="H84" s="23"/>
      <c r="I84" s="23"/>
      <c r="J84" s="23"/>
      <c r="K84" s="23"/>
      <c r="L84" s="23"/>
      <c r="M84" s="23"/>
      <c r="N84" s="23"/>
      <c r="O84" s="23"/>
      <c r="P84" s="23"/>
      <c r="Q84" s="23"/>
      <c r="R84" s="23"/>
      <c r="S84" s="23"/>
      <c r="T84" s="23"/>
      <c r="U84" s="23"/>
      <c r="V84" s="23"/>
      <c r="W84" s="23"/>
    </row>
    <row r="85" spans="2:23" s="72" customFormat="1" ht="12.75" outlineLevel="1" x14ac:dyDescent="0.2">
      <c r="B85" s="73" t="s">
        <v>96</v>
      </c>
      <c r="C85" s="74"/>
      <c r="E85" s="75"/>
      <c r="F85" s="74"/>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97</v>
      </c>
      <c r="D87" s="18">
        <f t="shared" ref="D87:W87" si="30">IF((D92-C92*D43/((1+D24/100)*(1+D42/100)))&gt;0,1,0)</f>
        <v>0</v>
      </c>
      <c r="E87" s="18">
        <f t="shared" si="30"/>
        <v>1</v>
      </c>
      <c r="F87" s="18">
        <f t="shared" si="30"/>
        <v>1</v>
      </c>
      <c r="G87" s="18">
        <f t="shared" si="30"/>
        <v>1</v>
      </c>
      <c r="H87" s="18">
        <f t="shared" si="30"/>
        <v>1</v>
      </c>
      <c r="I87" s="18">
        <f t="shared" si="30"/>
        <v>1</v>
      </c>
      <c r="J87" s="18">
        <f t="shared" si="30"/>
        <v>1</v>
      </c>
      <c r="K87" s="18">
        <f t="shared" si="30"/>
        <v>1</v>
      </c>
      <c r="L87" s="18">
        <f t="shared" si="30"/>
        <v>1</v>
      </c>
      <c r="M87" s="18">
        <f t="shared" si="30"/>
        <v>1</v>
      </c>
      <c r="N87" s="18">
        <f t="shared" si="30"/>
        <v>1</v>
      </c>
      <c r="O87" s="18">
        <f t="shared" si="30"/>
        <v>1</v>
      </c>
      <c r="P87" s="18">
        <f t="shared" si="30"/>
        <v>1</v>
      </c>
      <c r="Q87" s="18">
        <f t="shared" si="30"/>
        <v>1</v>
      </c>
      <c r="R87" s="18">
        <f t="shared" si="30"/>
        <v>1</v>
      </c>
      <c r="S87" s="18">
        <f t="shared" si="30"/>
        <v>1</v>
      </c>
      <c r="T87" s="18">
        <f t="shared" si="30"/>
        <v>1</v>
      </c>
      <c r="U87" s="18">
        <f t="shared" si="30"/>
        <v>1</v>
      </c>
      <c r="V87" s="18">
        <f t="shared" si="30"/>
        <v>1</v>
      </c>
      <c r="W87" s="18">
        <f t="shared" si="30"/>
        <v>1</v>
      </c>
    </row>
    <row r="88" spans="2:23" x14ac:dyDescent="0.2">
      <c r="B88" s="15" t="s">
        <v>98</v>
      </c>
      <c r="D88" s="18">
        <f t="shared" ref="D88:W88" si="31">IF(AND(D87=0,ABS(D92-C92*D43/((1+D24/100)*(1+D42/100)))&lt;((C98*C92*D43/((1+D24/100)*(1+D42/100))+(D39*C92*C99*D43/((1+D24/100)*(1+D42/100)))))),1,0)</f>
        <v>0</v>
      </c>
      <c r="E88" s="18">
        <f t="shared" si="31"/>
        <v>0</v>
      </c>
      <c r="F88" s="18">
        <f t="shared" si="31"/>
        <v>0</v>
      </c>
      <c r="G88" s="18">
        <f t="shared" si="31"/>
        <v>0</v>
      </c>
      <c r="H88" s="18">
        <f t="shared" si="31"/>
        <v>0</v>
      </c>
      <c r="I88" s="18">
        <f t="shared" si="31"/>
        <v>0</v>
      </c>
      <c r="J88" s="18">
        <f t="shared" si="31"/>
        <v>0</v>
      </c>
      <c r="K88" s="18">
        <f t="shared" si="31"/>
        <v>0</v>
      </c>
      <c r="L88" s="18">
        <f t="shared" si="31"/>
        <v>0</v>
      </c>
      <c r="M88" s="18">
        <f t="shared" si="31"/>
        <v>0</v>
      </c>
      <c r="N88" s="18">
        <f t="shared" si="31"/>
        <v>0</v>
      </c>
      <c r="O88" s="18">
        <f t="shared" si="31"/>
        <v>0</v>
      </c>
      <c r="P88" s="18">
        <f t="shared" si="31"/>
        <v>0</v>
      </c>
      <c r="Q88" s="18">
        <f t="shared" si="31"/>
        <v>0</v>
      </c>
      <c r="R88" s="18">
        <f t="shared" si="31"/>
        <v>0</v>
      </c>
      <c r="S88" s="18">
        <f t="shared" si="31"/>
        <v>0</v>
      </c>
      <c r="T88" s="18">
        <f t="shared" si="31"/>
        <v>0</v>
      </c>
      <c r="U88" s="18">
        <f t="shared" si="31"/>
        <v>0</v>
      </c>
      <c r="V88" s="18">
        <f t="shared" si="31"/>
        <v>0</v>
      </c>
      <c r="W88" s="18">
        <f t="shared" si="31"/>
        <v>0</v>
      </c>
    </row>
    <row r="90" spans="2:23" x14ac:dyDescent="0.2">
      <c r="H90" s="27"/>
      <c r="I90" s="27"/>
      <c r="J90" s="27"/>
      <c r="K90" s="27"/>
      <c r="L90" s="27"/>
      <c r="M90" s="27"/>
      <c r="N90" s="27"/>
      <c r="O90" s="27"/>
      <c r="P90" s="27"/>
      <c r="Q90" s="27"/>
      <c r="R90" s="27"/>
      <c r="S90" s="27"/>
      <c r="T90" s="27"/>
    </row>
    <row r="91" spans="2:23" x14ac:dyDescent="0.2">
      <c r="B91" s="37"/>
      <c r="C91" s="67">
        <v>2021</v>
      </c>
      <c r="D91" s="67">
        <v>2022</v>
      </c>
      <c r="E91" s="67">
        <v>2023</v>
      </c>
      <c r="F91" s="67">
        <v>2024</v>
      </c>
      <c r="G91" s="67">
        <v>2025</v>
      </c>
      <c r="H91" s="67">
        <v>2026</v>
      </c>
      <c r="I91" s="67">
        <v>2027</v>
      </c>
      <c r="J91" s="67">
        <v>2028</v>
      </c>
      <c r="K91" s="67">
        <v>2029</v>
      </c>
      <c r="L91" s="67">
        <v>2030</v>
      </c>
      <c r="M91" s="67">
        <v>2031</v>
      </c>
      <c r="N91" s="67">
        <v>2032</v>
      </c>
      <c r="O91" s="67">
        <v>2033</v>
      </c>
      <c r="P91" s="67">
        <v>2034</v>
      </c>
      <c r="Q91" s="67">
        <v>2035</v>
      </c>
      <c r="R91" s="67">
        <v>2036</v>
      </c>
      <c r="S91" s="67">
        <v>2037</v>
      </c>
      <c r="T91" s="67">
        <v>2038</v>
      </c>
      <c r="U91" s="67">
        <v>2039</v>
      </c>
      <c r="V91" s="67">
        <v>2040</v>
      </c>
      <c r="W91" s="67">
        <v>2041</v>
      </c>
    </row>
    <row r="92" spans="2:23" x14ac:dyDescent="0.2">
      <c r="B92" s="84" t="s">
        <v>76</v>
      </c>
      <c r="C92" s="88">
        <f>C57</f>
        <v>77.53389</v>
      </c>
      <c r="D92" s="88">
        <f>D57</f>
        <v>67.78423846018319</v>
      </c>
      <c r="E92" s="88">
        <f>E57</f>
        <v>63.018538203782732</v>
      </c>
      <c r="F92" s="88">
        <f>F57</f>
        <v>59.525230422292623</v>
      </c>
      <c r="G92" s="88">
        <f>G57</f>
        <v>59.308560515398618</v>
      </c>
      <c r="H92" s="88">
        <f t="shared" ref="H92:W92" si="32">G92*(1+H106/100)*H43-H60-H61+H62+H63+H64+H65+H66+H72</f>
        <v>59.914596328739641</v>
      </c>
      <c r="I92" s="88">
        <f t="shared" si="32"/>
        <v>61.274653837802454</v>
      </c>
      <c r="J92" s="88">
        <f t="shared" si="32"/>
        <v>62.708387815017879</v>
      </c>
      <c r="K92" s="88">
        <f t="shared" si="32"/>
        <v>63.946629207539537</v>
      </c>
      <c r="L92" s="88">
        <f t="shared" si="32"/>
        <v>65.272278453343446</v>
      </c>
      <c r="M92" s="88">
        <f t="shared" si="32"/>
        <v>66.690556664985621</v>
      </c>
      <c r="N92" s="88">
        <f t="shared" si="32"/>
        <v>68.157464005468725</v>
      </c>
      <c r="O92" s="88">
        <f t="shared" si="32"/>
        <v>69.653674850872648</v>
      </c>
      <c r="P92" s="88">
        <f t="shared" si="32"/>
        <v>71.220292369642195</v>
      </c>
      <c r="Q92" s="88">
        <f t="shared" si="32"/>
        <v>72.864471338427549</v>
      </c>
      <c r="R92" s="88">
        <f t="shared" si="32"/>
        <v>74.57715697179674</v>
      </c>
      <c r="S92" s="88">
        <f t="shared" si="32"/>
        <v>76.232042443998182</v>
      </c>
      <c r="T92" s="88">
        <f t="shared" si="32"/>
        <v>77.847451383885399</v>
      </c>
      <c r="U92" s="88">
        <f t="shared" si="32"/>
        <v>79.383908345564663</v>
      </c>
      <c r="V92" s="88">
        <f t="shared" si="32"/>
        <v>80.840914082626554</v>
      </c>
      <c r="W92" s="88">
        <f t="shared" si="32"/>
        <v>82.269167965247178</v>
      </c>
    </row>
    <row r="93" spans="2:23" x14ac:dyDescent="0.2">
      <c r="B93" s="15" t="s">
        <v>99</v>
      </c>
      <c r="C93" s="23"/>
      <c r="D93" s="181">
        <f>'Input data'!C66*$D$92</f>
        <v>61.563247683738361</v>
      </c>
      <c r="E93" s="23">
        <f t="shared" ref="E93:W93" si="33">IF(E92=0,0,IF(E87=1,D92*E43/((1+E24/100)*(1+E42/100))-E94-E95,IF(AND(E87=0,E88=1),(1-D98-E39*D99)*D92*E43/((1+E24/100)*(1+E42/100)),E92)))</f>
        <v>51.500562711347804</v>
      </c>
      <c r="F93" s="23">
        <f t="shared" si="33"/>
        <v>50.728502658383945</v>
      </c>
      <c r="G93" s="23">
        <f t="shared" si="33"/>
        <v>49.4369188083013</v>
      </c>
      <c r="H93" s="23">
        <f t="shared" si="33"/>
        <v>49.409080543136454</v>
      </c>
      <c r="I93" s="23">
        <f t="shared" si="33"/>
        <v>50.096574152726546</v>
      </c>
      <c r="J93" s="23">
        <f t="shared" si="33"/>
        <v>50.995637223278841</v>
      </c>
      <c r="K93" s="23">
        <f t="shared" si="33"/>
        <v>51.887494884660335</v>
      </c>
      <c r="L93" s="23">
        <f t="shared" si="33"/>
        <v>52.85572610556784</v>
      </c>
      <c r="M93" s="23">
        <f t="shared" si="33"/>
        <v>53.899757707226783</v>
      </c>
      <c r="N93" s="23">
        <f t="shared" si="33"/>
        <v>54.994857285344771</v>
      </c>
      <c r="O93" s="23">
        <f t="shared" si="33"/>
        <v>56.119660094020659</v>
      </c>
      <c r="P93" s="23">
        <f t="shared" si="33"/>
        <v>57.372081230857042</v>
      </c>
      <c r="Q93" s="23">
        <f t="shared" si="33"/>
        <v>58.685152412601845</v>
      </c>
      <c r="R93" s="23">
        <f t="shared" si="33"/>
        <v>60.064825405279478</v>
      </c>
      <c r="S93" s="23">
        <f t="shared" si="33"/>
        <v>61.425583917470512</v>
      </c>
      <c r="T93" s="23">
        <f t="shared" si="33"/>
        <v>62.765685822028772</v>
      </c>
      <c r="U93" s="23">
        <f t="shared" si="33"/>
        <v>64.054859669431934</v>
      </c>
      <c r="V93" s="23">
        <f t="shared" si="33"/>
        <v>65.283920844524999</v>
      </c>
      <c r="W93" s="23">
        <f t="shared" si="33"/>
        <v>66.489371865431593</v>
      </c>
    </row>
    <row r="94" spans="2:23" x14ac:dyDescent="0.2">
      <c r="B94" s="83" t="s">
        <v>100</v>
      </c>
      <c r="C94" s="23"/>
      <c r="D94" s="181">
        <f>'Input data'!C67*$D$92</f>
        <v>3.9125294883246755</v>
      </c>
      <c r="E94" s="23">
        <f t="shared" ref="E94:W94" si="34">IF(E92=0,0,IF(E87=1,E39*D92*D99*E43/((1+E24/100)*(1+E42/100)),IF(AND(E87=0,E88=1),(E39*D92*D99*E43/((1+E24/100)*(1+E42/100)))*(1-ABS(E92-D92*E43/((1+E24/100)*(1+E42/100)))/((E39*D92*D99*E43/((1+E24/100)*(1+E42/100)))+(D98*D92*E43/((1+E24/100)*(1+E42/100))))),0)))</f>
        <v>5.8659240545129414</v>
      </c>
      <c r="F94" s="23">
        <f t="shared" si="34"/>
        <v>5.4441538848406834</v>
      </c>
      <c r="G94" s="23">
        <f t="shared" si="34"/>
        <v>5.3717955136485909</v>
      </c>
      <c r="H94" s="23">
        <f t="shared" si="34"/>
        <v>5.4351474546963487</v>
      </c>
      <c r="I94" s="23">
        <f t="shared" si="34"/>
        <v>5.5782375432136782</v>
      </c>
      <c r="J94" s="23">
        <f t="shared" si="34"/>
        <v>5.7471892336993307</v>
      </c>
      <c r="K94" s="23">
        <f t="shared" si="34"/>
        <v>5.9179168951878642</v>
      </c>
      <c r="L94" s="23">
        <f t="shared" si="34"/>
        <v>6.1000464910677605</v>
      </c>
      <c r="M94" s="23">
        <f t="shared" si="34"/>
        <v>6.2938321215193191</v>
      </c>
      <c r="N94" s="23">
        <f t="shared" si="34"/>
        <v>6.4966723424734356</v>
      </c>
      <c r="O94" s="23">
        <f t="shared" si="34"/>
        <v>6.706234521038386</v>
      </c>
      <c r="P94" s="23">
        <f t="shared" si="34"/>
        <v>6.8558973994068388</v>
      </c>
      <c r="Q94" s="23">
        <f t="shared" si="34"/>
        <v>7.0128078880456659</v>
      </c>
      <c r="R94" s="23">
        <f t="shared" si="34"/>
        <v>7.1776772161160425</v>
      </c>
      <c r="S94" s="23">
        <f t="shared" si="34"/>
        <v>7.3402862856286433</v>
      </c>
      <c r="T94" s="23">
        <f t="shared" si="34"/>
        <v>7.5004269144029712</v>
      </c>
      <c r="U94" s="23">
        <f t="shared" si="34"/>
        <v>7.6544816992072748</v>
      </c>
      <c r="V94" s="23">
        <f t="shared" si="34"/>
        <v>7.8013530891456337</v>
      </c>
      <c r="W94" s="23">
        <f t="shared" si="34"/>
        <v>7.945403092946103</v>
      </c>
    </row>
    <row r="95" spans="2:23" x14ac:dyDescent="0.2">
      <c r="B95" s="83" t="s">
        <v>101</v>
      </c>
      <c r="C95" s="23"/>
      <c r="D95" s="181">
        <f>'Input data'!C68*$D$92</f>
        <v>2.3084542881192829</v>
      </c>
      <c r="E95" s="23">
        <f t="shared" ref="E95:W95" si="35">IF(E92=0,0,IF(E87=1,(1-D99)*D92*E43/((1+E24/100)*(1+E42/100)),IF(AND(E87=0,E88=1),(D98*D92*E43/((1+E24/100)*(1+E42/100)))*(1-ABS(E92-D92*E43/((1+E24/100)*(1+E42/100)))/((E39*D92*D99*E43/((1+E24/100)*(1+E42/100)))+(D98*D92*E43/((1+E24/100)*(1+E42/100))))),0)))</f>
        <v>2.0225542888393648</v>
      </c>
      <c r="F95" s="23">
        <f t="shared" si="35"/>
        <v>2.0236605928890654</v>
      </c>
      <c r="G95" s="23">
        <f t="shared" si="35"/>
        <v>1.989936064125891</v>
      </c>
      <c r="H95" s="23">
        <f t="shared" si="35"/>
        <v>2.0198296541672938</v>
      </c>
      <c r="I95" s="23">
        <f t="shared" si="35"/>
        <v>2.0839116148353019</v>
      </c>
      <c r="J95" s="23">
        <f t="shared" si="35"/>
        <v>2.1604424248568019</v>
      </c>
      <c r="K95" s="23">
        <f t="shared" si="35"/>
        <v>2.2380669981590828</v>
      </c>
      <c r="L95" s="23">
        <f t="shared" si="35"/>
        <v>2.318465951926973</v>
      </c>
      <c r="M95" s="23">
        <f t="shared" si="35"/>
        <v>2.4016818700327756</v>
      </c>
      <c r="N95" s="23">
        <f t="shared" si="35"/>
        <v>2.4867101885612004</v>
      </c>
      <c r="O95" s="23">
        <f t="shared" si="35"/>
        <v>2.57253427177969</v>
      </c>
      <c r="P95" s="23">
        <f t="shared" si="35"/>
        <v>2.6604379303613186</v>
      </c>
      <c r="Q95" s="23">
        <f t="shared" si="35"/>
        <v>2.7505094276699813</v>
      </c>
      <c r="R95" s="23">
        <f t="shared" si="35"/>
        <v>2.8431473770729143</v>
      </c>
      <c r="S95" s="23">
        <f t="shared" si="35"/>
        <v>2.9342849217109337</v>
      </c>
      <c r="T95" s="23">
        <f t="shared" si="35"/>
        <v>3.0236529016705553</v>
      </c>
      <c r="U95" s="23">
        <f t="shared" si="35"/>
        <v>3.109738075964906</v>
      </c>
      <c r="V95" s="23">
        <f t="shared" si="35"/>
        <v>3.1920207008890773</v>
      </c>
      <c r="W95" s="23">
        <f t="shared" si="35"/>
        <v>3.2722831216499753</v>
      </c>
    </row>
    <row r="96" spans="2:23" x14ac:dyDescent="0.2">
      <c r="B96" s="83" t="s">
        <v>102</v>
      </c>
      <c r="C96" s="23"/>
      <c r="D96" s="181">
        <f>'Input data'!C69*$D$92</f>
        <v>0</v>
      </c>
      <c r="E96" s="23">
        <f>IF(E92=0,0,IF(E87=1,'Input data'!$C$58*(E92-D92*E43/((1+E24/100)*(1+E42/100))),0))</f>
        <v>3.4607077471142449</v>
      </c>
      <c r="F96" s="23">
        <f>IF(F92=0,0,IF(F87=1,'Input data'!$C$58*(F92-E92*F43/((1+F24/100)*(1+F42/100))),0))</f>
        <v>1.2671123066965087</v>
      </c>
      <c r="G96" s="23">
        <f>IF(G92=0,0,IF(G87=1,'Input data'!$C$58*(G92-F92*G43/((1+G24/100)*(1+G42/100))),0))</f>
        <v>2.3931870097496875</v>
      </c>
      <c r="H96" s="23">
        <f>IF(H92=0,0,IF(H87=1,'Input data'!$C$58*(H92-G92*H43/((1+H24/100)*(1+H42/100))),0))</f>
        <v>2.9086736806316376</v>
      </c>
      <c r="I96" s="23">
        <f>IF(I92=0,0,IF(I87=1,'Input data'!$C$58*(I92-H92*I43/((1+I24/100)*(1+I42/100))),0))</f>
        <v>3.3524225294605903</v>
      </c>
      <c r="J96" s="23">
        <f>IF(J92=0,0,IF(J87=1,'Input data'!$C$58*(J92-I92*J43/((1+J24/100)*(1+J42/100))),0))</f>
        <v>3.628162257707126</v>
      </c>
      <c r="K96" s="23">
        <f>IF(K92=0,0,IF(K87=1,'Input data'!$C$58*(K92-J92*K43/((1+K24/100)*(1+K42/100))),0))</f>
        <v>3.7216348091218991</v>
      </c>
      <c r="L96" s="23">
        <f>IF(L92=0,0,IF(L87=1,'Input data'!$C$58*(L92-K92*L43/((1+L24/100)*(1+L42/100))),0))</f>
        <v>3.8121114588130305</v>
      </c>
      <c r="M96" s="23">
        <f>IF(M92=0,0,IF(M87=1,'Input data'!$C$58*(M92-L92*M43/((1+M24/100)*(1+M42/100))),0))</f>
        <v>3.9048341483817999</v>
      </c>
      <c r="N96" s="23">
        <f>IF(N92=0,0,IF(N87=1,'Input data'!$C$58*(N92-M92*N43/((1+N24/100)*(1+N42/100))),0))</f>
        <v>3.9848697860981384</v>
      </c>
      <c r="O96" s="23">
        <f>IF(O92=0,0,IF(O87=1,'Input data'!$C$58*(O92-N92*O43/((1+O24/100)*(1+O42/100))),0))</f>
        <v>4.0573561760011172</v>
      </c>
      <c r="P96" s="23">
        <f>IF(P92=0,0,IF(P87=1,'Input data'!$C$58*(P92-O92*P43/((1+P24/100)*(1+P42/100))),0))</f>
        <v>4.1304223577062382</v>
      </c>
      <c r="Q96" s="23">
        <f>IF(Q92=0,0,IF(Q87=1,'Input data'!$C$58*(Q92-P92*Q43/((1+Q24/100)*(1+Q42/100))),0))</f>
        <v>4.2106358968320512</v>
      </c>
      <c r="R96" s="23">
        <f>IF(R92=0,0,IF(R87=1,'Input data'!$C$58*(R92-Q92*R43/((1+R24/100)*(1+R42/100))),0))</f>
        <v>4.2826298906843636</v>
      </c>
      <c r="S96" s="23">
        <f>IF(S92=0,0,IF(S87=1,'Input data'!$C$58*(S92-R92*S43/((1+S24/100)*(1+S42/100))),0))</f>
        <v>4.3211323525979903</v>
      </c>
      <c r="T96" s="23">
        <f>IF(T92=0,0,IF(T87=1,'Input data'!$C$58*(T92-S92*T43/((1+T24/100)*(1+T42/100))),0))</f>
        <v>4.3457310259440352</v>
      </c>
      <c r="U96" s="23">
        <f>IF(U92=0,0,IF(U87=1,'Input data'!$C$58*(U92-T92*U43/((1+U24/100)*(1+U42/100))),0))</f>
        <v>4.3525419894042559</v>
      </c>
      <c r="V96" s="23">
        <f>IF(V92=0,0,IF(V87=1,'Input data'!$C$58*(V92-U92*V43/((1+V24/100)*(1+V42/100))),0))</f>
        <v>4.351388781996441</v>
      </c>
      <c r="W96" s="23">
        <f>IF(W92=0,0,IF(W87=1,'Input data'!$C$58*(W92-V92*W43/((1+W24/100)*(1+W42/100))),0))</f>
        <v>4.3499494212183549</v>
      </c>
    </row>
    <row r="97" spans="2:25" x14ac:dyDescent="0.2">
      <c r="B97" s="85" t="s">
        <v>103</v>
      </c>
      <c r="C97" s="35"/>
      <c r="D97" s="182">
        <f>'Input data'!C70*$D$92</f>
        <v>0</v>
      </c>
      <c r="E97" s="35">
        <f>IF(E92=0,0,IF(E87=1,'Input data'!$C$57*(E92-D92*E43/((1+E24/100)*(1+E42/100))),0))</f>
        <v>0.16878940196837219</v>
      </c>
      <c r="F97" s="35">
        <f>IF(F92=0,0,IF(F87=1,'Input data'!$C$57*(F92-E92*F43/((1+F24/100)*(1+F42/100))),0))</f>
        <v>6.180097948242258E-2</v>
      </c>
      <c r="G97" s="35">
        <f>IF(G92=0,0,IF(G87=1,'Input data'!$C$57*(G92-F92*G43/((1+G24/100)*(1+G42/100))),0))</f>
        <v>0.11672311957314542</v>
      </c>
      <c r="H97" s="35">
        <f>IF(H92=0,0,IF(H87=1,'Input data'!$C$57*(H92-G92*H43/((1+H24/100)*(1+H42/100))),0))</f>
        <v>0.14186499610790473</v>
      </c>
      <c r="I97" s="35">
        <f>IF(I92=0,0,IF(I87=1,'Input data'!$C$57*(I92-H92*I43/((1+I24/100)*(1+I42/100))),0))</f>
        <v>0.16350799756633441</v>
      </c>
      <c r="J97" s="35">
        <f>IF(J92=0,0,IF(J87=1,'Input data'!$C$57*(J92-I92*J43/((1+J24/100)*(1+J42/100))),0))</f>
        <v>0.17695667547577762</v>
      </c>
      <c r="K97" s="35">
        <f>IF(K92=0,0,IF(K87=1,'Input data'!$C$57*(K92-J92*K43/((1+K24/100)*(1+K42/100))),0))</f>
        <v>0.18151562041035449</v>
      </c>
      <c r="L97" s="35">
        <f>IF(L92=0,0,IF(L87=1,'Input data'!$C$57*(L92-K92*L43/((1+L24/100)*(1+L42/100))),0))</f>
        <v>0.18592844596784411</v>
      </c>
      <c r="M97" s="35">
        <f>IF(M92=0,0,IF(M87=1,'Input data'!$C$57*(M92-L92*M43/((1+M24/100)*(1+M42/100))),0))</f>
        <v>0.19045081782494819</v>
      </c>
      <c r="N97" s="35">
        <f>IF(N92=0,0,IF(N87=1,'Input data'!$C$57*(N92-M92*N43/((1+N24/100)*(1+N42/100))),0))</f>
        <v>0.19435440299117984</v>
      </c>
      <c r="O97" s="35">
        <f>IF(O92=0,0,IF(O87=1,'Input data'!$C$57*(O92-N92*O43/((1+O24/100)*(1+O42/100))),0))</f>
        <v>0.19788978803280097</v>
      </c>
      <c r="P97" s="35">
        <f>IF(P92=0,0,IF(P87=1,'Input data'!$C$57*(P92-O92*P43/((1+P24/100)*(1+P42/100))),0))</f>
        <v>0.20145345131075432</v>
      </c>
      <c r="Q97" s="35">
        <f>IF(Q92=0,0,IF(Q87=1,'Input data'!$C$57*(Q92-P92*Q43/((1+Q24/100)*(1+Q42/100))),0))</f>
        <v>0.20536571327800726</v>
      </c>
      <c r="R97" s="35">
        <f>IF(R92=0,0,IF(R87=1,'Input data'!$C$57*(R92-Q92*R43/((1+R24/100)*(1+R42/100))),0))</f>
        <v>0.20887708264393523</v>
      </c>
      <c r="S97" s="35">
        <f>IF(S92=0,0,IF(S87=1,'Input data'!$C$57*(S92-R92*S43/((1+S24/100)*(1+S42/100))),0))</f>
        <v>0.21075496659011073</v>
      </c>
      <c r="T97" s="35">
        <f>IF(T92=0,0,IF(T87=1,'Input data'!$C$57*(T92-S92*T43/((1+T24/100)*(1+T42/100))),0))</f>
        <v>0.21195471983906869</v>
      </c>
      <c r="U97" s="35">
        <f>IF(U92=0,0,IF(U87=1,'Input data'!$C$57*(U92-T92*U43/((1+U24/100)*(1+U42/100))),0))</f>
        <v>0.2122869115562796</v>
      </c>
      <c r="V97" s="35">
        <f>IF(V92=0,0,IF(V87=1,'Input data'!$C$57*(V92-U92*V43/((1+V24/100)*(1+V42/100))),0))</f>
        <v>0.21223066607040383</v>
      </c>
      <c r="W97" s="35">
        <f>IF(W92=0,0,IF(W87=1,'Input data'!$C$57*(W92-V92*W43/((1+W24/100)*(1+W42/100))),0))</f>
        <v>0.2121604640011443</v>
      </c>
    </row>
    <row r="98" spans="2:25" x14ac:dyDescent="0.2">
      <c r="B98" s="15" t="s">
        <v>51</v>
      </c>
      <c r="C98" s="25"/>
      <c r="D98" s="186">
        <f>'Baseline NFPC'!$D$93</f>
        <v>3.4056018634422758E-2</v>
      </c>
      <c r="E98" s="25">
        <f t="shared" ref="E98:W98" si="36">IF(E92&lt;&gt;0,(E95+E97)/(E93+E94+E95+E96+E97),0)</f>
        <v>3.4773000981419153E-2</v>
      </c>
      <c r="F98" s="25">
        <f t="shared" si="36"/>
        <v>3.5034918093999813E-2</v>
      </c>
      <c r="G98" s="25">
        <f t="shared" si="36"/>
        <v>3.5520322283864446E-2</v>
      </c>
      <c r="H98" s="25">
        <f t="shared" si="36"/>
        <v>3.6079599675751861E-2</v>
      </c>
      <c r="I98" s="25">
        <f t="shared" si="36"/>
        <v>3.6677801858345641E-2</v>
      </c>
      <c r="J98" s="25">
        <f t="shared" si="36"/>
        <v>3.7274106092914122E-2</v>
      </c>
      <c r="K98" s="25">
        <f t="shared" si="36"/>
        <v>3.7837531837943375E-2</v>
      </c>
      <c r="L98" s="25">
        <f t="shared" si="36"/>
        <v>3.8368423122918188E-2</v>
      </c>
      <c r="M98" s="25">
        <f t="shared" si="36"/>
        <v>3.8868061948846566E-2</v>
      </c>
      <c r="N98" s="25">
        <f t="shared" si="36"/>
        <v>3.9336331400729063E-2</v>
      </c>
      <c r="O98" s="25">
        <f t="shared" si="36"/>
        <v>3.9774269853585217E-2</v>
      </c>
      <c r="P98" s="25">
        <f t="shared" si="36"/>
        <v>4.0183651125981067E-2</v>
      </c>
      <c r="Q98" s="25">
        <f t="shared" si="36"/>
        <v>4.0566754779830641E-2</v>
      </c>
      <c r="R98" s="25">
        <f t="shared" si="36"/>
        <v>4.0924387354576298E-2</v>
      </c>
      <c r="S98" s="25">
        <f t="shared" si="36"/>
        <v>4.1256140954264248E-2</v>
      </c>
      <c r="T98" s="25">
        <f t="shared" si="36"/>
        <v>4.156343674700444E-2</v>
      </c>
      <c r="U98" s="25">
        <f>IF(U92&lt;&gt;0,(U95+U97)/(U93+U94+U95+U96+U97),0)</f>
        <v>4.1847586705609632E-2</v>
      </c>
      <c r="V98" s="25">
        <f t="shared" si="36"/>
        <v>4.2110500673953728E-2</v>
      </c>
      <c r="W98" s="23">
        <f t="shared" si="36"/>
        <v>4.235418531427286E-2</v>
      </c>
    </row>
    <row r="99" spans="2:25" x14ac:dyDescent="0.2">
      <c r="B99" s="24" t="s">
        <v>52</v>
      </c>
      <c r="C99" s="86"/>
      <c r="D99" s="187">
        <f>'Baseline NFPC'!$D$94</f>
        <v>0.96594398136557724</v>
      </c>
      <c r="E99" s="86">
        <f t="shared" ref="E99:W99" si="37">IF(E92&lt;&gt;0,(E93+E94+E96)/(E93+E94+E95+E96+E97),1)</f>
        <v>0.96522699901858078</v>
      </c>
      <c r="F99" s="86">
        <f t="shared" si="37"/>
        <v>0.96496508190600028</v>
      </c>
      <c r="G99" s="86">
        <f t="shared" si="37"/>
        <v>0.96447967771613552</v>
      </c>
      <c r="H99" s="86">
        <f t="shared" si="37"/>
        <v>0.96392040032424808</v>
      </c>
      <c r="I99" s="86">
        <f t="shared" si="37"/>
        <v>0.96332219814165432</v>
      </c>
      <c r="J99" s="86">
        <f t="shared" si="37"/>
        <v>0.96272589390708585</v>
      </c>
      <c r="K99" s="86">
        <f t="shared" si="37"/>
        <v>0.96216246816205664</v>
      </c>
      <c r="L99" s="86">
        <f t="shared" si="37"/>
        <v>0.96163157687708178</v>
      </c>
      <c r="M99" s="86">
        <f t="shared" si="37"/>
        <v>0.96113193805115338</v>
      </c>
      <c r="N99" s="86">
        <f t="shared" si="37"/>
        <v>0.9606636685992711</v>
      </c>
      <c r="O99" s="86">
        <f t="shared" si="37"/>
        <v>0.96022573014641488</v>
      </c>
      <c r="P99" s="86">
        <f t="shared" si="37"/>
        <v>0.95981634887401901</v>
      </c>
      <c r="Q99" s="86">
        <f t="shared" si="37"/>
        <v>0.95943324522016926</v>
      </c>
      <c r="R99" s="86">
        <f t="shared" si="37"/>
        <v>0.95907561264542374</v>
      </c>
      <c r="S99" s="86">
        <f t="shared" si="37"/>
        <v>0.95874385904573556</v>
      </c>
      <c r="T99" s="86">
        <f t="shared" si="37"/>
        <v>0.95843656325299553</v>
      </c>
      <c r="U99" s="86">
        <f t="shared" si="37"/>
        <v>0.95815241329439027</v>
      </c>
      <c r="V99" s="86">
        <f t="shared" si="37"/>
        <v>0.95788949932604617</v>
      </c>
      <c r="W99" s="35">
        <f t="shared" si="37"/>
        <v>0.95764581468572707</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90" t="s">
        <v>104</v>
      </c>
      <c r="C101" s="92">
        <f>'Baseline NFPC'!C96</f>
        <v>2.0416150000000002</v>
      </c>
      <c r="D101" s="92">
        <f>'Baseline NFPC'!D96</f>
        <v>2.038402</v>
      </c>
      <c r="E101" s="92">
        <f>'Baseline NFPC'!E96</f>
        <v>2.7909440000000001</v>
      </c>
      <c r="F101" s="92">
        <f>'Baseline NFPC'!F96</f>
        <v>2.8182960000000001</v>
      </c>
      <c r="G101" s="92">
        <f>'Baseline NFPC'!G96</f>
        <v>2.8191980000000001</v>
      </c>
      <c r="H101" s="92">
        <f t="shared" ref="H101:W101" si="38">H103+H104</f>
        <v>2.9152727568937937</v>
      </c>
      <c r="I101" s="92">
        <f t="shared" si="38"/>
        <v>3.0198614752641246</v>
      </c>
      <c r="J101" s="92">
        <f>J103+J104</f>
        <v>3.1305071222619922</v>
      </c>
      <c r="K101" s="92">
        <f t="shared" si="38"/>
        <v>3.244254992765494</v>
      </c>
      <c r="L101" s="92">
        <f t="shared" si="38"/>
        <v>3.3586904437762959</v>
      </c>
      <c r="M101" s="92">
        <f t="shared" si="38"/>
        <v>3.4735960505673189</v>
      </c>
      <c r="N101" s="92">
        <f t="shared" si="38"/>
        <v>3.5888436335315377</v>
      </c>
      <c r="O101" s="92">
        <f t="shared" si="38"/>
        <v>3.7042062177843258</v>
      </c>
      <c r="P101" s="92">
        <f t="shared" si="38"/>
        <v>3.7974778124647504</v>
      </c>
      <c r="Q101" s="92">
        <f t="shared" si="38"/>
        <v>3.872329942154928</v>
      </c>
      <c r="R101" s="92">
        <f t="shared" si="38"/>
        <v>3.9317999116138735</v>
      </c>
      <c r="S101" s="92">
        <f t="shared" si="38"/>
        <v>3.9783580689477689</v>
      </c>
      <c r="T101" s="92">
        <f t="shared" si="38"/>
        <v>4.0140502672333565</v>
      </c>
      <c r="U101" s="92">
        <f t="shared" si="38"/>
        <v>4.0406830865471566</v>
      </c>
      <c r="V101" s="92">
        <f t="shared" si="38"/>
        <v>4.0597676832635905</v>
      </c>
      <c r="W101" s="92">
        <f t="shared" si="38"/>
        <v>4.0725799851218927</v>
      </c>
    </row>
    <row r="102" spans="2:25" x14ac:dyDescent="0.2">
      <c r="B102" s="22" t="s">
        <v>105</v>
      </c>
      <c r="C102" s="23"/>
      <c r="D102" s="23"/>
      <c r="E102" s="191">
        <f>((E36*D92)-(E38*(D95+D97)))/(D93+D94+D96)</f>
        <v>2.7684133468233108</v>
      </c>
      <c r="F102" s="191">
        <f>((F36*E92)-(F38*(E95+E97)))/(E93+E94+E96)</f>
        <v>2.7914239805326373</v>
      </c>
      <c r="G102" s="191">
        <f>((G36*F92)-(G38*(F95+F97)))/(F93+F94+F96)</f>
        <v>2.8193004944587465</v>
      </c>
      <c r="H102" s="23">
        <f t="shared" ref="H102:W102" si="39">IF(G92&gt;0,(G102*G93+H37*(G96+G94))/(G93+G94+G96),H37)</f>
        <v>2.9193306435715733</v>
      </c>
      <c r="I102" s="23">
        <f t="shared" si="39"/>
        <v>3.0283228297788725</v>
      </c>
      <c r="J102" s="23">
        <f t="shared" si="39"/>
        <v>3.1437565537762686</v>
      </c>
      <c r="K102" s="23">
        <f t="shared" si="39"/>
        <v>3.2625691263015941</v>
      </c>
      <c r="L102" s="23">
        <f t="shared" si="39"/>
        <v>3.3822363412686531</v>
      </c>
      <c r="M102" s="23">
        <f t="shared" si="39"/>
        <v>3.5025204389022195</v>
      </c>
      <c r="N102" s="23">
        <f t="shared" si="39"/>
        <v>3.6232768991351865</v>
      </c>
      <c r="O102" s="23">
        <f t="shared" si="39"/>
        <v>3.7442571793735073</v>
      </c>
      <c r="P102" s="23">
        <f t="shared" si="39"/>
        <v>3.8433604123238445</v>
      </c>
      <c r="Q102" s="23">
        <f t="shared" si="39"/>
        <v>3.9233582463969658</v>
      </c>
      <c r="R102" s="23">
        <f t="shared" si="39"/>
        <v>3.9873848163818195</v>
      </c>
      <c r="S102" s="23">
        <f t="shared" si="39"/>
        <v>4.0379897188971325</v>
      </c>
      <c r="T102" s="23">
        <f t="shared" si="39"/>
        <v>4.0772842453212927</v>
      </c>
      <c r="U102" s="23">
        <f t="shared" si="39"/>
        <v>4.1071378189510046</v>
      </c>
      <c r="V102" s="23">
        <f t="shared" si="39"/>
        <v>4.1291157134377539</v>
      </c>
      <c r="W102" s="23">
        <f t="shared" si="39"/>
        <v>4.144542119426724</v>
      </c>
    </row>
    <row r="103" spans="2:25" x14ac:dyDescent="0.2">
      <c r="B103" s="15" t="s">
        <v>106</v>
      </c>
      <c r="C103" s="23"/>
      <c r="D103" s="23"/>
      <c r="E103" s="23">
        <f t="shared" ref="E103:W103" si="40">(E102*(D93+D94+D96)+E38*(D95+D97))/D92</f>
        <v>2.7909440000000001</v>
      </c>
      <c r="F103" s="23">
        <f t="shared" si="40"/>
        <v>2.8182960000000001</v>
      </c>
      <c r="G103" s="23">
        <f t="shared" si="40"/>
        <v>2.8191980000000001</v>
      </c>
      <c r="H103" s="23">
        <f t="shared" si="40"/>
        <v>2.9152727568937937</v>
      </c>
      <c r="I103" s="23">
        <f t="shared" si="40"/>
        <v>3.0198614752641246</v>
      </c>
      <c r="J103" s="23">
        <f t="shared" si="40"/>
        <v>3.1305071222619922</v>
      </c>
      <c r="K103" s="23">
        <f t="shared" si="40"/>
        <v>3.244254992765494</v>
      </c>
      <c r="L103" s="23">
        <f t="shared" si="40"/>
        <v>3.3586904437762959</v>
      </c>
      <c r="M103" s="23">
        <f t="shared" si="40"/>
        <v>3.4735960505673189</v>
      </c>
      <c r="N103" s="23">
        <f t="shared" si="40"/>
        <v>3.5888436335315377</v>
      </c>
      <c r="O103" s="23">
        <f t="shared" si="40"/>
        <v>3.7042062177843258</v>
      </c>
      <c r="P103" s="23">
        <f t="shared" si="40"/>
        <v>3.7974778124647504</v>
      </c>
      <c r="Q103" s="23">
        <f t="shared" si="40"/>
        <v>3.872329942154928</v>
      </c>
      <c r="R103" s="23">
        <f t="shared" si="40"/>
        <v>3.9317999116138735</v>
      </c>
      <c r="S103" s="23">
        <f t="shared" si="40"/>
        <v>3.9783580689477689</v>
      </c>
      <c r="T103" s="23">
        <f t="shared" si="40"/>
        <v>4.0140502672333565</v>
      </c>
      <c r="U103" s="23">
        <f t="shared" si="40"/>
        <v>4.0406830865471566</v>
      </c>
      <c r="V103" s="23">
        <f t="shared" si="40"/>
        <v>4.0597676832635905</v>
      </c>
      <c r="W103" s="23">
        <f t="shared" si="40"/>
        <v>4.0725799851218927</v>
      </c>
    </row>
    <row r="104" spans="2:25" x14ac:dyDescent="0.2">
      <c r="B104" s="24" t="s">
        <v>107</v>
      </c>
      <c r="C104" s="91"/>
      <c r="D104" s="91"/>
      <c r="E104" s="35">
        <f>IF('Criteria results'!$F$5=4,E115,E120)</f>
        <v>0</v>
      </c>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90" t="s">
        <v>138</v>
      </c>
      <c r="C106" s="92">
        <f t="shared" ref="C106:W106" si="41">((1+C101/100)/((1+C24/100)*(1+C42/100))-1)*100</f>
        <v>-11.617016162437588</v>
      </c>
      <c r="D106" s="92">
        <f t="shared" si="41"/>
        <v>-12.173574273297783</v>
      </c>
      <c r="E106" s="92">
        <f t="shared" si="41"/>
        <v>-8.0946943852955204</v>
      </c>
      <c r="F106" s="92">
        <f t="shared" si="41"/>
        <v>-5.6797714779498687</v>
      </c>
      <c r="G106" s="92">
        <f t="shared" si="41"/>
        <v>-2.2425064887149015</v>
      </c>
      <c r="H106" s="92">
        <f t="shared" si="41"/>
        <v>-1.3265546750221846</v>
      </c>
      <c r="I106" s="92">
        <f t="shared" si="41"/>
        <v>-0.68704390803039361</v>
      </c>
      <c r="J106" s="92">
        <f t="shared" si="41"/>
        <v>-0.86073750783252079</v>
      </c>
      <c r="K106" s="92">
        <f t="shared" si="41"/>
        <v>-1.1433007670997641</v>
      </c>
      <c r="L106" s="92">
        <f t="shared" si="41"/>
        <v>-0.9607678652704621</v>
      </c>
      <c r="M106" s="92">
        <f t="shared" si="41"/>
        <v>-0.77015829829387705</v>
      </c>
      <c r="N106" s="92">
        <f t="shared" si="41"/>
        <v>-0.62413313507260204</v>
      </c>
      <c r="O106" s="92">
        <f t="shared" si="41"/>
        <v>-0.49377196522959466</v>
      </c>
      <c r="P106" s="92">
        <f t="shared" si="41"/>
        <v>-0.32329308213935315</v>
      </c>
      <c r="Q106" s="92">
        <f t="shared" si="41"/>
        <v>-0.17027738731932862</v>
      </c>
      <c r="R106" s="92">
        <f t="shared" si="41"/>
        <v>-3.1831446573715727E-2</v>
      </c>
      <c r="S106" s="92">
        <f t="shared" si="41"/>
        <v>-3.2869233859345037E-2</v>
      </c>
      <c r="T106" s="92">
        <f t="shared" si="41"/>
        <v>-5.0998560772175239E-4</v>
      </c>
      <c r="U106" s="92">
        <f t="shared" si="41"/>
        <v>-6.6412587194197847E-3</v>
      </c>
      <c r="V106" s="92">
        <f t="shared" si="41"/>
        <v>-1.2512301258971181E-2</v>
      </c>
      <c r="W106" s="92">
        <f t="shared" si="41"/>
        <v>3.8131795199491947E-2</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F108" s="23"/>
      <c r="G108" s="23"/>
      <c r="H108" s="180"/>
      <c r="I108" s="180"/>
      <c r="J108" s="180"/>
      <c r="K108" s="180"/>
      <c r="L108" s="180"/>
      <c r="M108" s="180"/>
      <c r="N108" s="180"/>
      <c r="O108" s="180"/>
      <c r="P108" s="180"/>
      <c r="Q108" s="180"/>
      <c r="R108" s="180"/>
      <c r="S108" s="180"/>
      <c r="T108" s="180"/>
      <c r="U108" s="23"/>
      <c r="V108" s="23"/>
      <c r="W108" s="23"/>
    </row>
    <row r="109" spans="2:25" x14ac:dyDescent="0.2">
      <c r="T109" s="47"/>
      <c r="U109" s="47"/>
      <c r="V109" s="47"/>
      <c r="W109" s="47"/>
      <c r="X109" s="47"/>
      <c r="Y109" s="47"/>
    </row>
    <row r="110" spans="2:25" s="14" customFormat="1" ht="12.75" outlineLevel="1" x14ac:dyDescent="0.2">
      <c r="B110" s="14" t="s">
        <v>108</v>
      </c>
      <c r="C110" s="89"/>
      <c r="D110" s="89"/>
      <c r="E110" s="89"/>
      <c r="F110" s="89"/>
      <c r="G110" s="89"/>
      <c r="H110" s="89"/>
      <c r="I110" s="89"/>
      <c r="J110" s="89"/>
      <c r="K110" s="89"/>
      <c r="L110" s="89"/>
      <c r="M110" s="89"/>
      <c r="N110" s="89"/>
      <c r="O110" s="89"/>
      <c r="P110" s="89"/>
      <c r="Q110" s="89"/>
      <c r="R110" s="89"/>
      <c r="S110" s="89"/>
      <c r="T110" s="89"/>
      <c r="U110" s="89"/>
      <c r="V110" s="89"/>
      <c r="W110" s="89"/>
    </row>
    <row r="111" spans="2:25" s="80" customFormat="1" ht="12.75" outlineLevel="1" x14ac:dyDescent="0.2">
      <c r="C111" s="99"/>
      <c r="D111" s="99"/>
      <c r="E111" s="99"/>
      <c r="F111" s="99"/>
      <c r="G111" s="99"/>
      <c r="H111" s="99"/>
      <c r="I111" s="99"/>
      <c r="J111" s="99"/>
      <c r="K111" s="99"/>
      <c r="L111" s="99"/>
      <c r="M111" s="99"/>
      <c r="N111" s="99"/>
      <c r="O111" s="99"/>
      <c r="P111" s="99"/>
      <c r="Q111" s="99"/>
      <c r="R111" s="99"/>
      <c r="S111" s="99"/>
      <c r="T111" s="99"/>
      <c r="U111" s="99"/>
      <c r="V111" s="99"/>
      <c r="W111" s="99"/>
    </row>
    <row r="112" spans="2:25" s="80" customFormat="1" ht="12.75" outlineLevel="1" x14ac:dyDescent="0.2">
      <c r="B112" s="84" t="s">
        <v>215</v>
      </c>
      <c r="C112" s="100"/>
      <c r="D112" s="100"/>
      <c r="E112" s="100"/>
      <c r="F112" s="100"/>
      <c r="G112" s="100"/>
      <c r="H112" s="26"/>
      <c r="I112" s="26"/>
      <c r="J112" s="26"/>
      <c r="K112" s="26"/>
      <c r="L112" s="26"/>
      <c r="M112" s="26"/>
      <c r="N112" s="26"/>
      <c r="O112" s="26"/>
      <c r="P112" s="26"/>
      <c r="Q112" s="26"/>
      <c r="R112" s="26"/>
      <c r="S112" s="26"/>
      <c r="T112" s="26"/>
      <c r="U112" s="100"/>
      <c r="V112" s="100"/>
      <c r="W112" s="100"/>
    </row>
    <row r="113" spans="1:51" outlineLevel="1" x14ac:dyDescent="0.2">
      <c r="B113" s="97" t="s">
        <v>21</v>
      </c>
      <c r="C113" s="23">
        <v>77.533889770507813</v>
      </c>
      <c r="D113" s="23">
        <v>67.784225463867188</v>
      </c>
      <c r="E113" s="23">
        <v>63.018520355224609</v>
      </c>
      <c r="F113" s="23">
        <v>59.525211334228516</v>
      </c>
      <c r="G113" s="23">
        <v>59.215621948242188</v>
      </c>
      <c r="H113" s="23">
        <v>59.379661560058594</v>
      </c>
      <c r="I113" s="23">
        <v>59.496437072753906</v>
      </c>
      <c r="J113" s="23">
        <v>59.426700592041016</v>
      </c>
      <c r="K113" s="23">
        <v>59.175956726074219</v>
      </c>
      <c r="L113" s="23">
        <v>58.999599456787109</v>
      </c>
      <c r="M113" s="23">
        <v>58.898006439208984</v>
      </c>
      <c r="N113" s="23">
        <v>58.862110137939453</v>
      </c>
      <c r="O113" s="23">
        <v>58.849720001220703</v>
      </c>
      <c r="P113" s="23">
        <v>58.895721435546875</v>
      </c>
      <c r="Q113" s="23">
        <v>59.005722045898438</v>
      </c>
      <c r="R113" s="23">
        <v>59.169021606445313</v>
      </c>
      <c r="S113" s="23">
        <v>59.277233123779297</v>
      </c>
      <c r="T113" s="23">
        <v>59.34344482421875</v>
      </c>
      <c r="U113" s="23">
        <v>59.334545135498047</v>
      </c>
      <c r="V113" s="23">
        <v>59.250247955322266</v>
      </c>
      <c r="W113" s="23">
        <v>59.129222869873047</v>
      </c>
      <c r="X113" s="93"/>
      <c r="Y113" s="47"/>
    </row>
    <row r="114" spans="1:51" x14ac:dyDescent="0.2">
      <c r="B114" s="15" t="s">
        <v>104</v>
      </c>
      <c r="C114" s="1">
        <v>2.0416145324707031</v>
      </c>
      <c r="D114" s="1">
        <v>2.0384023189544678</v>
      </c>
      <c r="E114" s="1">
        <v>2.7909440994262695</v>
      </c>
      <c r="F114" s="1">
        <v>2.8182964324951172</v>
      </c>
      <c r="G114" s="1">
        <v>2.8191983699798584</v>
      </c>
      <c r="H114" s="1">
        <v>2.9126372337341309</v>
      </c>
      <c r="I114" s="1">
        <v>3.0118763446807861</v>
      </c>
      <c r="J114" s="1">
        <v>3.1127998828887939</v>
      </c>
      <c r="K114" s="1">
        <v>3.2143161296844482</v>
      </c>
      <c r="L114" s="1">
        <v>3.3184969425201416</v>
      </c>
      <c r="M114" s="1">
        <v>3.424901008605957</v>
      </c>
      <c r="N114" s="1">
        <v>3.533193826675415</v>
      </c>
      <c r="O114" s="1">
        <v>3.643085241317749</v>
      </c>
      <c r="P114" s="1">
        <v>3.7345597743988037</v>
      </c>
      <c r="Q114" s="1">
        <v>3.8101866245269775</v>
      </c>
      <c r="R114" s="1">
        <v>3.8722341060638428</v>
      </c>
      <c r="S114" s="1">
        <v>3.922548770904541</v>
      </c>
      <c r="T114" s="1">
        <v>3.9626657962799072</v>
      </c>
      <c r="U114" s="1">
        <v>3.9940557479858398</v>
      </c>
      <c r="V114" s="1">
        <v>4.0179901123046875</v>
      </c>
      <c r="W114" s="1">
        <v>4.0355944633483887</v>
      </c>
      <c r="X114" s="9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137</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7"/>
      <c r="F116" s="77"/>
      <c r="G116" s="77"/>
      <c r="H116" s="77"/>
      <c r="I116" s="77"/>
      <c r="J116" s="77"/>
      <c r="K116" s="77"/>
      <c r="L116" s="77"/>
      <c r="M116" s="77"/>
      <c r="N116" s="77"/>
      <c r="O116" s="77"/>
      <c r="P116" s="77"/>
      <c r="Q116" s="77"/>
      <c r="R116" s="77"/>
      <c r="S116" s="77"/>
      <c r="T116" s="77"/>
      <c r="U116" s="81"/>
      <c r="V116" s="81"/>
      <c r="W116" s="81"/>
      <c r="X116" s="9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4" t="s">
        <v>216</v>
      </c>
      <c r="C117" s="26"/>
      <c r="D117" s="26"/>
      <c r="E117" s="26"/>
      <c r="F117" s="26"/>
      <c r="G117" s="26"/>
      <c r="H117" s="26"/>
      <c r="I117" s="26"/>
      <c r="J117" s="26"/>
      <c r="K117" s="26"/>
      <c r="L117" s="26"/>
      <c r="M117" s="26"/>
      <c r="N117" s="26"/>
      <c r="O117" s="26"/>
      <c r="P117" s="26"/>
      <c r="Q117" s="26"/>
      <c r="R117" s="26"/>
      <c r="S117" s="26"/>
      <c r="T117" s="26"/>
      <c r="U117" s="26"/>
      <c r="V117" s="101"/>
      <c r="W117" s="101"/>
      <c r="X117" s="9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7" t="s">
        <v>21</v>
      </c>
      <c r="C118" s="23">
        <v>77.533889770507813</v>
      </c>
      <c r="D118" s="23">
        <v>67.784225463867188</v>
      </c>
      <c r="E118" s="23">
        <v>63.018520355224609</v>
      </c>
      <c r="F118" s="23">
        <v>59.525211334228516</v>
      </c>
      <c r="G118" s="23">
        <v>59.249748229980469</v>
      </c>
      <c r="H118" s="23">
        <v>59.576747894287109</v>
      </c>
      <c r="I118" s="23">
        <v>59.989208221435547</v>
      </c>
      <c r="J118" s="23">
        <v>60.350059509277344</v>
      </c>
      <c r="K118" s="23">
        <v>60.579608917236328</v>
      </c>
      <c r="L118" s="23">
        <v>60.694343566894531</v>
      </c>
      <c r="M118" s="23">
        <v>60.693244934082031</v>
      </c>
      <c r="N118" s="23">
        <v>60.562599182128906</v>
      </c>
      <c r="O118" s="23">
        <v>60.408504486083984</v>
      </c>
      <c r="P118" s="23">
        <v>60.266407012939453</v>
      </c>
      <c r="Q118" s="23">
        <v>60.256282806396484</v>
      </c>
      <c r="R118" s="23">
        <v>60.300636291503906</v>
      </c>
      <c r="S118" s="23">
        <v>60.289375305175781</v>
      </c>
      <c r="T118" s="23">
        <v>60.236103057861328</v>
      </c>
      <c r="U118" s="23">
        <v>60.107410430908203</v>
      </c>
      <c r="V118" s="23">
        <v>59.903118133544922</v>
      </c>
      <c r="W118" s="23">
        <v>59.662357330322266</v>
      </c>
      <c r="X118" s="93"/>
      <c r="Y118" s="47"/>
    </row>
    <row r="119" spans="1:51" x14ac:dyDescent="0.2">
      <c r="B119" s="15" t="s">
        <v>104</v>
      </c>
      <c r="C119" s="1">
        <v>2.0416145324707031</v>
      </c>
      <c r="D119" s="1">
        <v>2.0384023189544678</v>
      </c>
      <c r="E119" s="1">
        <v>2.7909440994262695</v>
      </c>
      <c r="F119" s="1">
        <v>2.8182964324951172</v>
      </c>
      <c r="G119" s="1">
        <v>2.8191983699798584</v>
      </c>
      <c r="H119" s="1">
        <v>2.9136092662811279</v>
      </c>
      <c r="I119" s="1">
        <v>3.0148365497589111</v>
      </c>
      <c r="J119" s="1">
        <v>3.1187348365783691</v>
      </c>
      <c r="K119" s="1">
        <v>3.2241747379302979</v>
      </c>
      <c r="L119" s="1">
        <v>3.3304486274719238</v>
      </c>
      <c r="M119" s="1">
        <v>3.4371106624603271</v>
      </c>
      <c r="N119" s="1">
        <v>3.54388427734375</v>
      </c>
      <c r="O119" s="1">
        <v>3.6519360542297363</v>
      </c>
      <c r="P119" s="1">
        <v>3.7414367198944092</v>
      </c>
      <c r="Q119" s="1">
        <v>3.8151311874389648</v>
      </c>
      <c r="R119" s="1">
        <v>3.8756887912750244</v>
      </c>
      <c r="S119" s="1">
        <v>3.924872875213623</v>
      </c>
      <c r="T119" s="1">
        <v>3.964148998260498</v>
      </c>
      <c r="U119" s="1">
        <v>3.9949274063110352</v>
      </c>
      <c r="V119" s="1">
        <v>4.0184292793273926</v>
      </c>
      <c r="W119" s="1">
        <v>4.0357398986816406</v>
      </c>
      <c r="X119" s="9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137</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3"/>
      <c r="V121" s="93"/>
      <c r="W121" s="93"/>
      <c r="X121" s="93"/>
      <c r="Y121" s="47"/>
    </row>
    <row r="122" spans="1:51" x14ac:dyDescent="0.2">
      <c r="H122" s="98"/>
      <c r="I122" s="98"/>
      <c r="J122" s="98"/>
      <c r="K122" s="98"/>
      <c r="L122" s="98"/>
      <c r="M122" s="98"/>
      <c r="N122" s="98"/>
      <c r="O122" s="98"/>
      <c r="P122" s="98"/>
      <c r="Q122" s="98"/>
      <c r="R122" s="98"/>
      <c r="S122" s="98"/>
      <c r="T122" s="98"/>
      <c r="U122" s="98"/>
      <c r="V122" s="98"/>
      <c r="W122" s="98"/>
    </row>
    <row r="123" spans="1:51" x14ac:dyDescent="0.2">
      <c r="E123" s="23"/>
      <c r="F123" s="23"/>
      <c r="G123" s="98"/>
      <c r="H123" s="98"/>
      <c r="I123" s="98"/>
      <c r="J123" s="98"/>
      <c r="K123" s="98"/>
      <c r="L123" s="98"/>
      <c r="M123" s="98"/>
      <c r="N123" s="98"/>
      <c r="O123" s="98"/>
      <c r="P123" s="98"/>
      <c r="Q123" s="98"/>
      <c r="R123" s="98"/>
      <c r="S123" s="98"/>
      <c r="T123" s="98"/>
      <c r="U123" s="98"/>
      <c r="V123" s="98"/>
      <c r="W123" s="98"/>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8"/>
      <c r="H127" s="98"/>
      <c r="I127" s="98"/>
      <c r="J127" s="98"/>
      <c r="K127" s="98"/>
      <c r="L127" s="98"/>
      <c r="M127" s="98"/>
      <c r="N127" s="98"/>
      <c r="O127" s="98"/>
      <c r="P127" s="98"/>
      <c r="Q127" s="98"/>
      <c r="R127" s="98"/>
      <c r="S127" s="98"/>
      <c r="T127" s="98"/>
      <c r="U127" s="98"/>
      <c r="V127" s="98"/>
      <c r="W127" s="98"/>
    </row>
    <row r="128" spans="1:51" x14ac:dyDescent="0.2">
      <c r="E128" s="23"/>
      <c r="F128" s="23"/>
      <c r="G128" s="98"/>
      <c r="H128" s="98"/>
      <c r="I128" s="98"/>
      <c r="J128" s="98"/>
      <c r="K128" s="98"/>
      <c r="L128" s="98"/>
      <c r="M128" s="98"/>
      <c r="N128" s="98"/>
      <c r="O128" s="98"/>
      <c r="P128" s="98"/>
      <c r="Q128" s="98"/>
      <c r="R128" s="98"/>
      <c r="S128" s="98"/>
      <c r="T128" s="98"/>
      <c r="U128" s="98"/>
      <c r="V128" s="98"/>
      <c r="W128" s="98"/>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8"/>
      <c r="H130" s="98"/>
      <c r="I130" s="98"/>
      <c r="J130" s="98"/>
      <c r="K130" s="98"/>
      <c r="L130" s="98"/>
      <c r="M130" s="98"/>
      <c r="N130" s="98"/>
      <c r="O130" s="98"/>
      <c r="P130" s="98"/>
      <c r="Q130" s="98"/>
      <c r="R130" s="98"/>
      <c r="S130" s="98"/>
      <c r="T130" s="98"/>
      <c r="U130" s="98"/>
      <c r="V130" s="98"/>
      <c r="W130" s="98"/>
      <c r="X130" s="38"/>
    </row>
    <row r="131" spans="5:24" x14ac:dyDescent="0.2">
      <c r="E131" s="23"/>
      <c r="F131" s="23"/>
      <c r="G131" s="98"/>
      <c r="H131" s="98"/>
      <c r="I131" s="98"/>
      <c r="J131" s="98"/>
      <c r="K131" s="98"/>
      <c r="L131" s="98"/>
      <c r="M131" s="98"/>
      <c r="N131" s="98"/>
      <c r="O131" s="98"/>
      <c r="P131" s="98"/>
      <c r="Q131" s="98"/>
      <c r="R131" s="98"/>
      <c r="S131" s="98"/>
      <c r="T131" s="98"/>
      <c r="U131" s="98"/>
      <c r="V131" s="98"/>
      <c r="W131" s="98"/>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8"/>
      <c r="H133" s="98"/>
      <c r="I133" s="98"/>
      <c r="J133" s="98"/>
      <c r="K133" s="98"/>
      <c r="L133" s="98"/>
      <c r="M133" s="98"/>
      <c r="N133" s="98"/>
      <c r="O133" s="98"/>
      <c r="P133" s="98"/>
      <c r="Q133" s="98"/>
      <c r="R133" s="98"/>
      <c r="S133" s="98"/>
      <c r="T133" s="98"/>
      <c r="U133" s="98"/>
      <c r="V133" s="98"/>
      <c r="W133" s="98"/>
      <c r="X133" s="98"/>
    </row>
    <row r="134" spans="5:24" x14ac:dyDescent="0.2">
      <c r="E134" s="23"/>
      <c r="F134" s="23"/>
      <c r="G134" s="98"/>
      <c r="H134" s="98"/>
      <c r="I134" s="98"/>
      <c r="J134" s="98"/>
      <c r="K134" s="98"/>
      <c r="L134" s="98"/>
      <c r="M134" s="98"/>
      <c r="N134" s="98"/>
      <c r="O134" s="98"/>
      <c r="P134" s="98"/>
      <c r="Q134" s="98"/>
      <c r="R134" s="98"/>
      <c r="S134" s="98"/>
      <c r="T134" s="98"/>
      <c r="U134" s="98"/>
      <c r="V134" s="98"/>
      <c r="W134" s="98"/>
      <c r="X134" s="98"/>
    </row>
    <row r="135" spans="5:24" x14ac:dyDescent="0.2">
      <c r="G135" s="98"/>
      <c r="H135" s="98"/>
      <c r="I135" s="98"/>
      <c r="J135" s="98"/>
      <c r="K135" s="98"/>
      <c r="L135" s="98"/>
      <c r="M135" s="98"/>
      <c r="N135" s="98"/>
      <c r="O135" s="98"/>
      <c r="P135" s="98"/>
      <c r="Q135" s="98"/>
      <c r="R135" s="98"/>
      <c r="S135" s="98"/>
      <c r="T135" s="98"/>
      <c r="U135" s="98"/>
      <c r="V135" s="98"/>
      <c r="W135" s="98"/>
      <c r="X135" s="98"/>
    </row>
    <row r="136" spans="5:24" x14ac:dyDescent="0.2">
      <c r="E136" s="23"/>
      <c r="F136" s="23"/>
      <c r="G136" s="98"/>
      <c r="H136" s="98"/>
      <c r="I136" s="98"/>
      <c r="J136" s="98"/>
      <c r="K136" s="98"/>
      <c r="L136" s="98"/>
      <c r="M136" s="98"/>
      <c r="N136" s="98"/>
      <c r="O136" s="98"/>
      <c r="P136" s="98"/>
      <c r="Q136" s="98"/>
      <c r="R136" s="98"/>
      <c r="S136" s="98"/>
      <c r="T136" s="98"/>
      <c r="U136" s="98"/>
      <c r="V136" s="98"/>
      <c r="W136" s="98"/>
      <c r="X136" s="98"/>
    </row>
    <row r="137" spans="5:24" x14ac:dyDescent="0.2">
      <c r="E137" s="23"/>
      <c r="F137" s="23"/>
      <c r="G137" s="98"/>
      <c r="H137" s="98"/>
      <c r="I137" s="98"/>
      <c r="J137" s="98"/>
      <c r="K137" s="98"/>
      <c r="L137" s="98"/>
      <c r="M137" s="98"/>
      <c r="N137" s="98"/>
      <c r="O137" s="98"/>
      <c r="P137" s="98"/>
      <c r="Q137" s="98"/>
      <c r="R137" s="98"/>
      <c r="S137" s="98"/>
      <c r="T137" s="98"/>
      <c r="U137" s="98"/>
      <c r="V137" s="98"/>
      <c r="W137" s="98"/>
      <c r="X137" s="98"/>
    </row>
    <row r="138" spans="5:24" x14ac:dyDescent="0.2">
      <c r="G138" s="98"/>
      <c r="H138" s="98"/>
      <c r="I138" s="98"/>
      <c r="J138" s="98"/>
      <c r="K138" s="98"/>
      <c r="L138" s="98"/>
      <c r="M138" s="98"/>
      <c r="N138" s="98"/>
      <c r="O138" s="98"/>
      <c r="P138" s="98"/>
      <c r="Q138" s="98"/>
      <c r="R138" s="98"/>
      <c r="S138" s="98"/>
      <c r="T138" s="98"/>
      <c r="U138" s="98"/>
      <c r="V138" s="98"/>
      <c r="W138" s="98"/>
      <c r="X138" s="98"/>
    </row>
    <row r="139" spans="5:24" x14ac:dyDescent="0.2">
      <c r="G139" s="98"/>
      <c r="H139" s="98"/>
      <c r="I139" s="98"/>
      <c r="J139" s="98"/>
      <c r="K139" s="98"/>
      <c r="L139" s="98"/>
      <c r="M139" s="98"/>
      <c r="N139" s="98"/>
      <c r="O139" s="98"/>
      <c r="P139" s="98"/>
      <c r="Q139" s="98"/>
      <c r="R139" s="98"/>
      <c r="S139" s="98"/>
      <c r="T139" s="98"/>
      <c r="U139" s="98"/>
      <c r="V139" s="98"/>
      <c r="W139" s="98"/>
      <c r="X139" s="98"/>
    </row>
  </sheetData>
  <conditionalFormatting sqref="G12:M12">
    <cfRule type="expression" dxfId="4" priority="6">
      <formula>AND(G10&gt;$C$5,G10&lt;=$C$6)</formula>
    </cfRule>
  </conditionalFormatting>
  <conditionalFormatting sqref="U10:W44 U46:W53 U86:W109 U111:W123 U126:W150 U55:W78 U80:W84">
    <cfRule type="expression" dxfId="3" priority="2">
      <formula>U$10&gt;$C$7</formula>
    </cfRule>
  </conditionalFormatting>
  <conditionalFormatting sqref="U79:W79">
    <cfRule type="expression" dxfId="2"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275"/>
    <col min="2" max="2" width="4.5703125" style="275" customWidth="1"/>
    <col min="3" max="3" width="67" style="275" customWidth="1"/>
    <col min="4" max="4" width="16.5703125" style="275" customWidth="1"/>
    <col min="5" max="5" width="13.7109375" style="275" customWidth="1"/>
    <col min="6" max="24" width="10.7109375" style="275" customWidth="1"/>
    <col min="25" max="16384" width="9.140625" style="275"/>
  </cols>
  <sheetData>
    <row r="1" spans="1:25" x14ac:dyDescent="0.2">
      <c r="A1" s="192"/>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5" x14ac:dyDescent="0.2">
      <c r="A2" s="192"/>
      <c r="B2" s="280"/>
      <c r="C2" s="281" t="s">
        <v>151</v>
      </c>
      <c r="D2" s="282"/>
      <c r="E2" s="282"/>
      <c r="F2" s="282"/>
      <c r="G2" s="298"/>
      <c r="H2" s="298"/>
      <c r="I2" s="298"/>
      <c r="J2" s="298"/>
      <c r="K2" s="192"/>
      <c r="L2" s="192"/>
      <c r="M2" s="192"/>
      <c r="N2" s="192"/>
      <c r="O2" s="192"/>
      <c r="P2" s="192"/>
      <c r="Q2" s="192"/>
      <c r="R2" s="192"/>
      <c r="S2" s="192"/>
      <c r="T2" s="192"/>
      <c r="U2" s="192"/>
      <c r="V2" s="192"/>
      <c r="W2" s="192"/>
      <c r="X2" s="192"/>
      <c r="Y2" s="192"/>
    </row>
    <row r="3" spans="1:25" x14ac:dyDescent="0.2">
      <c r="A3" s="192"/>
      <c r="B3" s="277"/>
      <c r="C3" s="298"/>
      <c r="D3" s="298"/>
      <c r="E3" s="298"/>
      <c r="F3" s="298"/>
      <c r="G3" s="298"/>
      <c r="H3" s="298"/>
      <c r="I3" s="298"/>
      <c r="J3" s="298"/>
      <c r="K3" s="192"/>
      <c r="L3" s="192"/>
      <c r="M3" s="192"/>
      <c r="N3" s="192"/>
      <c r="O3" s="192"/>
      <c r="P3" s="192"/>
      <c r="Q3" s="192"/>
      <c r="R3" s="192"/>
      <c r="S3" s="192"/>
      <c r="T3" s="192"/>
      <c r="U3" s="192"/>
      <c r="V3" s="192"/>
      <c r="W3" s="192"/>
      <c r="X3" s="192"/>
      <c r="Y3" s="192"/>
    </row>
    <row r="4" spans="1:25" x14ac:dyDescent="0.2">
      <c r="A4" s="192"/>
      <c r="B4" s="283"/>
      <c r="C4" s="281"/>
      <c r="D4" s="284" t="s">
        <v>172</v>
      </c>
      <c r="E4" s="285">
        <f>F4-1</f>
        <v>2022</v>
      </c>
      <c r="F4" s="286">
        <f>'Input data'!$C$5-1</f>
        <v>2023</v>
      </c>
      <c r="G4" s="286">
        <f>F4+1</f>
        <v>2024</v>
      </c>
      <c r="H4" s="286">
        <f t="shared" ref="H4:X4" si="0">G4+1</f>
        <v>2025</v>
      </c>
      <c r="I4" s="286">
        <f t="shared" si="0"/>
        <v>2026</v>
      </c>
      <c r="J4" s="286">
        <f t="shared" si="0"/>
        <v>2027</v>
      </c>
      <c r="K4" s="286">
        <f t="shared" si="0"/>
        <v>2028</v>
      </c>
      <c r="L4" s="286">
        <f t="shared" si="0"/>
        <v>2029</v>
      </c>
      <c r="M4" s="286">
        <f t="shared" si="0"/>
        <v>2030</v>
      </c>
      <c r="N4" s="286">
        <f t="shared" si="0"/>
        <v>2031</v>
      </c>
      <c r="O4" s="286">
        <f t="shared" si="0"/>
        <v>2032</v>
      </c>
      <c r="P4" s="286">
        <f t="shared" si="0"/>
        <v>2033</v>
      </c>
      <c r="Q4" s="286">
        <f t="shared" si="0"/>
        <v>2034</v>
      </c>
      <c r="R4" s="286">
        <f t="shared" si="0"/>
        <v>2035</v>
      </c>
      <c r="S4" s="286">
        <f t="shared" si="0"/>
        <v>2036</v>
      </c>
      <c r="T4" s="286">
        <f t="shared" si="0"/>
        <v>2037</v>
      </c>
      <c r="U4" s="286">
        <f t="shared" si="0"/>
        <v>2038</v>
      </c>
      <c r="V4" s="286">
        <f t="shared" si="0"/>
        <v>2039</v>
      </c>
      <c r="W4" s="286">
        <f t="shared" si="0"/>
        <v>2040</v>
      </c>
      <c r="X4" s="286">
        <f t="shared" si="0"/>
        <v>2041</v>
      </c>
      <c r="Y4" s="192"/>
    </row>
    <row r="5" spans="1:25" x14ac:dyDescent="0.2">
      <c r="A5" s="192"/>
      <c r="B5" s="283">
        <v>1</v>
      </c>
      <c r="C5" s="287" t="s">
        <v>152</v>
      </c>
      <c r="D5" s="288">
        <v>57</v>
      </c>
      <c r="E5" s="289" t="s">
        <v>153</v>
      </c>
      <c r="F5" s="276">
        <f ca="1">INDEX(OFFSET('Adjustment scenario'!$D$1:$W$1,$D5-1,0),MATCH(F$4,'Adjustment scenario'!$D$10:$W$10,0))</f>
        <v>63.018538203782732</v>
      </c>
      <c r="G5" s="276">
        <f ca="1">INDEX(OFFSET('Adjustment scenario'!$D$1:$W$1,$D5-1,0),MATCH(G$4,'Adjustment scenario'!$D$10:$W$10,0))</f>
        <v>59.525230422292623</v>
      </c>
      <c r="H5" s="276">
        <f ca="1">INDEX(OFFSET('Adjustment scenario'!$D$1:$W$1,$D5-1,0),MATCH(H$4,'Adjustment scenario'!$D$10:$W$10,0))</f>
        <v>59.21016430222484</v>
      </c>
      <c r="I5" s="276">
        <f ca="1">INDEX(OFFSET('Adjustment scenario'!$D$1:$W$1,$D5-1,0),MATCH(I$4,'Adjustment scenario'!$D$10:$W$10,0))</f>
        <v>59.350927631530432</v>
      </c>
      <c r="J5" s="276">
        <f ca="1">INDEX(OFFSET('Adjustment scenario'!$D$1:$W$1,$D5-1,0),MATCH(J$4,'Adjustment scenario'!$D$10:$W$10,0))</f>
        <v>59.425424132668404</v>
      </c>
      <c r="K5" s="276">
        <f ca="1">INDEX(OFFSET('Adjustment scenario'!$D$1:$W$1,$D5-1,0),MATCH(K$4,'Adjustment scenario'!$D$10:$W$10,0))</f>
        <v>59.294133442385835</v>
      </c>
      <c r="L5" s="276">
        <f ca="1">INDEX(OFFSET('Adjustment scenario'!$D$1:$W$1,$D5-1,0),MATCH(L$4,'Adjustment scenario'!$D$10:$W$10,0))</f>
        <v>58.96768818223368</v>
      </c>
      <c r="M5" s="276">
        <f ca="1">INDEX(OFFSET('Adjustment scenario'!$D$1:$W$1,$D5-1,0),MATCH(M$4,'Adjustment scenario'!$D$10:$W$10,0))</f>
        <v>58.710686905649844</v>
      </c>
      <c r="N5" s="276">
        <f ca="1">INDEX(OFFSET('Adjustment scenario'!$D$1:$W$1,$D5-1,0),MATCH(N$4,'Adjustment scenario'!$D$10:$W$10,0))</f>
        <v>58.523236024671561</v>
      </c>
      <c r="O5" s="276">
        <f ca="1">INDEX(OFFSET('Adjustment scenario'!$D$1:$W$1,$D5-1,0),MATCH(O$4,'Adjustment scenario'!$D$10:$W$10,0))</f>
        <v>58.40814071626378</v>
      </c>
      <c r="P5" s="276">
        <f ca="1">INDEX(OFFSET('Adjustment scenario'!$D$1:$W$1,$D5-1,0),MATCH(P$4,'Adjustment scenario'!$D$10:$W$10,0))</f>
        <v>58.316250887170639</v>
      </c>
      <c r="Q5" s="276">
        <f ca="1">INDEX(OFFSET('Adjustment scenario'!$D$1:$W$1,$D5-1,0),MATCH(Q$4,'Adjustment scenario'!$D$10:$W$10,0))</f>
        <v>58.282171337336607</v>
      </c>
      <c r="R5" s="276">
        <f ca="1">INDEX(OFFSET('Adjustment scenario'!$D$1:$W$1,$D5-1,0),MATCH(R$4,'Adjustment scenario'!$D$10:$W$10,0))</f>
        <v>58.311417237106369</v>
      </c>
      <c r="S5" s="276">
        <f ca="1">INDEX(OFFSET('Adjustment scenario'!$D$1:$W$1,$D5-1,0),MATCH(S$4,'Adjustment scenario'!$D$10:$W$10,0))</f>
        <v>58.393199409347922</v>
      </c>
      <c r="T5" s="276">
        <f ca="1">INDEX(OFFSET('Adjustment scenario'!$D$1:$W$1,$D5-1,0),MATCH(T$4,'Adjustment scenario'!$D$10:$W$10,0))</f>
        <v>58.42002554934686</v>
      </c>
      <c r="U5" s="276">
        <f ca="1">INDEX(OFFSET('Adjustment scenario'!$D$1:$W$1,$D5-1,0),MATCH(U$4,'Adjustment scenario'!$D$10:$W$10,0))</f>
        <v>58.404732075670815</v>
      </c>
      <c r="V5" s="276">
        <f ca="1">INDEX(OFFSET('Adjustment scenario'!$D$1:$W$1,$D5-1,0),MATCH(V$4,'Adjustment scenario'!$D$10:$W$10,0))</f>
        <v>58.314511877329011</v>
      </c>
      <c r="W5" s="276">
        <f ca="1">INDEX(OFFSET('Adjustment scenario'!$D$1:$W$1,$D5-1,0),MATCH(W$4,'Adjustment scenario'!$D$10:$W$10,0))</f>
        <v>58.149101712454609</v>
      </c>
      <c r="X5" s="276">
        <f ca="1">INDEX(OFFSET('Adjustment scenario'!$D$1:$W$1,$D5-1,0),MATCH(X$4,'Adjustment scenario'!$D$10:$W$10,0))</f>
        <v>57.946544932979364</v>
      </c>
      <c r="Y5" s="192"/>
    </row>
    <row r="6" spans="1:25" x14ac:dyDescent="0.2">
      <c r="A6" s="192"/>
      <c r="B6" s="283">
        <v>2</v>
      </c>
      <c r="C6" s="287" t="s">
        <v>154</v>
      </c>
      <c r="D6" s="288">
        <v>77</v>
      </c>
      <c r="E6" s="289" t="s">
        <v>153</v>
      </c>
      <c r="F6" s="276">
        <f ca="1">INDEX(OFFSET('Adjustment scenario'!$D$1:$W$1,$D6-1,0),MATCH(F$4,'Adjustment scenario'!$D$10:$W$10,0))</f>
        <v>-0.69110970262048821</v>
      </c>
      <c r="G6" s="276">
        <f ca="1">INDEX(OFFSET('Adjustment scenario'!$D$1:$W$1,$D6-1,0),MATCH(G$4,'Adjustment scenario'!$D$10:$W$10,0))</f>
        <v>-2.6152547775931434</v>
      </c>
      <c r="H6" s="276">
        <f ca="1">INDEX(OFFSET('Adjustment scenario'!$D$1:$W$1,$D6-1,0),MATCH(H$4,'Adjustment scenario'!$D$10:$W$10,0))</f>
        <v>-2.440361362062899</v>
      </c>
      <c r="I6" s="276">
        <f ca="1">INDEX(OFFSET('Adjustment scenario'!$D$1:$W$1,$D6-1,0),MATCH(I$4,'Adjustment scenario'!$D$10:$W$10,0))</f>
        <v>-2.4687043025960715</v>
      </c>
      <c r="J6" s="276">
        <f ca="1">INDEX(OFFSET('Adjustment scenario'!$D$1:$W$1,$D6-1,0),MATCH(J$4,'Adjustment scenario'!$D$10:$W$10,0))</f>
        <v>-2.3772846182426912</v>
      </c>
      <c r="K6" s="276">
        <f ca="1">INDEX(OFFSET('Adjustment scenario'!$D$1:$W$1,$D6-1,0),MATCH(K$4,'Adjustment scenario'!$D$10:$W$10,0))</f>
        <v>-2.2004157701363041</v>
      </c>
      <c r="L6" s="276">
        <f ca="1">INDEX(OFFSET('Adjustment scenario'!$D$1:$W$1,$D6-1,0),MATCH(L$4,'Adjustment scenario'!$D$10:$W$10,0))</f>
        <v>-2.2201141408611473</v>
      </c>
      <c r="M6" s="276">
        <f ca="1">INDEX(OFFSET('Adjustment scenario'!$D$1:$W$1,$D6-1,0),MATCH(M$4,'Adjustment scenario'!$D$10:$W$10,0))</f>
        <v>-2.2339227077883086</v>
      </c>
      <c r="N6" s="276">
        <f ca="1">INDEX(OFFSET('Adjustment scenario'!$D$1:$W$1,$D6-1,0),MATCH(N$4,'Adjustment scenario'!$D$10:$W$10,0))</f>
        <v>-2.2469458279424419</v>
      </c>
      <c r="O6" s="276">
        <f ca="1">INDEX(OFFSET('Adjustment scenario'!$D$1:$W$1,$D6-1,0),MATCH(O$4,'Adjustment scenario'!$D$10:$W$10,0))</f>
        <v>-2.2650551513051207</v>
      </c>
      <c r="P6" s="276">
        <f ca="1">INDEX(OFFSET('Adjustment scenario'!$D$1:$W$1,$D6-1,0),MATCH(P$4,'Adjustment scenario'!$D$10:$W$10,0))</f>
        <v>-2.27248968240283</v>
      </c>
      <c r="Q6" s="276">
        <f ca="1">INDEX(OFFSET('Adjustment scenario'!$D$1:$W$1,$D6-1,0),MATCH(Q$4,'Adjustment scenario'!$D$10:$W$10,0))</f>
        <v>-2.2810818047844021</v>
      </c>
      <c r="R6" s="276">
        <f ca="1">INDEX(OFFSET('Adjustment scenario'!$D$1:$W$1,$D6-1,0),MATCH(R$4,'Adjustment scenario'!$D$10:$W$10,0))</f>
        <v>-2.2975297936344679</v>
      </c>
      <c r="S6" s="276">
        <f ca="1">INDEX(OFFSET('Adjustment scenario'!$D$1:$W$1,$D6-1,0),MATCH(S$4,'Adjustment scenario'!$D$10:$W$10,0))</f>
        <v>-2.3055958856373557</v>
      </c>
      <c r="T6" s="276">
        <f ca="1">INDEX(OFFSET('Adjustment scenario'!$D$1:$W$1,$D6-1,0),MATCH(T$4,'Adjustment scenario'!$D$10:$W$10,0))</f>
        <v>-2.2794910225673033</v>
      </c>
      <c r="U6" s="276">
        <f ca="1">INDEX(OFFSET('Adjustment scenario'!$D$1:$W$1,$D6-1,0),MATCH(U$4,'Adjustment scenario'!$D$10:$W$10,0))</f>
        <v>-2.2395049111364962</v>
      </c>
      <c r="V6" s="276">
        <f ca="1">INDEX(OFFSET('Adjustment scenario'!$D$1:$W$1,$D6-1,0),MATCH(V$4,'Adjustment scenario'!$D$10:$W$10,0))</f>
        <v>-2.1818034658242356</v>
      </c>
      <c r="W6" s="276">
        <f ca="1">INDEX(OFFSET('Adjustment scenario'!$D$1:$W$1,$D6-1,0),MATCH(W$4,'Adjustment scenario'!$D$10:$W$10,0))</f>
        <v>-2.1166727650824471</v>
      </c>
      <c r="X6" s="276">
        <f ca="1">INDEX(OFFSET('Adjustment scenario'!$D$1:$W$1,$D6-1,0),MATCH(X$4,'Adjustment scenario'!$D$10:$W$10,0))</f>
        <v>-2.0516348450906556</v>
      </c>
      <c r="Y6" s="192"/>
    </row>
    <row r="7" spans="1:25" x14ac:dyDescent="0.2">
      <c r="A7" s="192"/>
      <c r="B7" s="283">
        <v>3</v>
      </c>
      <c r="C7" s="287" t="s">
        <v>18</v>
      </c>
      <c r="D7" s="288">
        <v>12</v>
      </c>
      <c r="E7" s="289" t="s">
        <v>155</v>
      </c>
      <c r="F7" s="276">
        <f ca="1">INDEX(OFFSET('Adjustment scenario'!$D$1:$W$1,$D7-1,0),MATCH(F$4,'Adjustment scenario'!$D$10:$W$10,0))</f>
        <v>-0.118968</v>
      </c>
      <c r="G7" s="276">
        <f ca="1">INDEX(OFFSET('Adjustment scenario'!$D$1:$W$1,$D7-1,0),MATCH(G$4,'Adjustment scenario'!$D$10:$W$10,0))</f>
        <v>-1.9611449999999999</v>
      </c>
      <c r="H7" s="276">
        <f ca="1">INDEX(OFFSET('Adjustment scenario'!$D$1:$W$1,$D7-1,0),MATCH(H$4,'Adjustment scenario'!$D$10:$W$10,0))</f>
        <v>-1.5611449999999998</v>
      </c>
      <c r="I7" s="276">
        <f ca="1">INDEX(OFFSET('Adjustment scenario'!$D$1:$W$1,$D7-1,0),MATCH(I$4,'Adjustment scenario'!$D$10:$W$10,0))</f>
        <v>-1.1611449999999999</v>
      </c>
      <c r="J7" s="276">
        <f ca="1">INDEX(OFFSET('Adjustment scenario'!$D$1:$W$1,$D7-1,0),MATCH(J$4,'Adjustment scenario'!$D$10:$W$10,0))</f>
        <v>-0.76114499999999985</v>
      </c>
      <c r="K7" s="276">
        <f ca="1">INDEX(OFFSET('Adjustment scenario'!$D$1:$W$1,$D7-1,0),MATCH(K$4,'Adjustment scenario'!$D$10:$W$10,0))</f>
        <v>-0.36114499999999983</v>
      </c>
      <c r="L7" s="276">
        <f ca="1">INDEX(OFFSET('Adjustment scenario'!$D$1:$W$1,$D7-1,0),MATCH(L$4,'Adjustment scenario'!$D$10:$W$10,0))</f>
        <v>-0.36114499999999983</v>
      </c>
      <c r="M7" s="276">
        <f ca="1">INDEX(OFFSET('Adjustment scenario'!$D$1:$W$1,$D7-1,0),MATCH(M$4,'Adjustment scenario'!$D$10:$W$10,0))</f>
        <v>-0.36114499999999983</v>
      </c>
      <c r="N7" s="276">
        <f ca="1">INDEX(OFFSET('Adjustment scenario'!$D$1:$W$1,$D7-1,0),MATCH(N$4,'Adjustment scenario'!$D$10:$W$10,0))</f>
        <v>-0.36114499999999983</v>
      </c>
      <c r="O7" s="276">
        <f ca="1">INDEX(OFFSET('Adjustment scenario'!$D$1:$W$1,$D7-1,0),MATCH(O$4,'Adjustment scenario'!$D$10:$W$10,0))</f>
        <v>-0.36114499999999983</v>
      </c>
      <c r="P7" s="276">
        <f ca="1">INDEX(OFFSET('Adjustment scenario'!$D$1:$W$1,$D7-1,0),MATCH(P$4,'Adjustment scenario'!$D$10:$W$10,0))</f>
        <v>-0.36114499999999983</v>
      </c>
      <c r="Q7" s="276">
        <f ca="1">INDEX(OFFSET('Adjustment scenario'!$D$1:$W$1,$D7-1,0),MATCH(Q$4,'Adjustment scenario'!$D$10:$W$10,0))</f>
        <v>-0.36114499999999983</v>
      </c>
      <c r="R7" s="276">
        <f ca="1">INDEX(OFFSET('Adjustment scenario'!$D$1:$W$1,$D7-1,0),MATCH(R$4,'Adjustment scenario'!$D$10:$W$10,0))</f>
        <v>-0.36114499999999983</v>
      </c>
      <c r="S7" s="276">
        <f ca="1">INDEX(OFFSET('Adjustment scenario'!$D$1:$W$1,$D7-1,0),MATCH(S$4,'Adjustment scenario'!$D$10:$W$10,0))</f>
        <v>-0.36114499999999983</v>
      </c>
      <c r="T7" s="276">
        <f ca="1">INDEX(OFFSET('Adjustment scenario'!$D$1:$W$1,$D7-1,0),MATCH(T$4,'Adjustment scenario'!$D$10:$W$10,0))</f>
        <v>-0.36114499999999983</v>
      </c>
      <c r="U7" s="276">
        <f ca="1">INDEX(OFFSET('Adjustment scenario'!$D$1:$W$1,$D7-1,0),MATCH(U$4,'Adjustment scenario'!$D$10:$W$10,0))</f>
        <v>-0.36114499999999983</v>
      </c>
      <c r="V7" s="276">
        <f ca="1">INDEX(OFFSET('Adjustment scenario'!$D$1:$W$1,$D7-1,0),MATCH(V$4,'Adjustment scenario'!$D$10:$W$10,0))</f>
        <v>-0.36114499999999983</v>
      </c>
      <c r="W7" s="276">
        <f ca="1">INDEX(OFFSET('Adjustment scenario'!$D$1:$W$1,$D7-1,0),MATCH(W$4,'Adjustment scenario'!$D$10:$W$10,0))</f>
        <v>-0.36114499999999983</v>
      </c>
      <c r="X7" s="276">
        <f ca="1">INDEX(OFFSET('Adjustment scenario'!$D$1:$W$1,$D7-1,0),MATCH(X$4,'Adjustment scenario'!$D$10:$W$10,0))</f>
        <v>-0.36114499999999983</v>
      </c>
      <c r="Y7" s="192"/>
    </row>
    <row r="8" spans="1:25" x14ac:dyDescent="0.2">
      <c r="A8" s="192"/>
      <c r="B8" s="283">
        <v>4</v>
      </c>
      <c r="C8" s="287" t="s">
        <v>156</v>
      </c>
      <c r="D8" s="288">
        <v>62</v>
      </c>
      <c r="E8" s="289" t="s">
        <v>155</v>
      </c>
      <c r="F8" s="276">
        <f ca="1">INDEX(OFFSET('Adjustment scenario'!$D$1:$W$1,$D8-1,0),MATCH(F$4,'Adjustment scenario'!$D$10:$W$10,0))</f>
        <v>-1.1193332564004566</v>
      </c>
      <c r="G8" s="276">
        <f ca="1">INDEX(OFFSET('Adjustment scenario'!$D$1:$W$1,$D8-1,0),MATCH(G$4,'Adjustment scenario'!$D$10:$W$10,0))</f>
        <v>-0.97514638149010979</v>
      </c>
      <c r="H8" s="276">
        <f ca="1">INDEX(OFFSET('Adjustment scenario'!$D$1:$W$1,$D8-1,0),MATCH(H$4,'Adjustment scenario'!$D$10:$W$10,0))</f>
        <v>-0.72096700797539548</v>
      </c>
      <c r="I8" s="276">
        <f ca="1">INDEX(OFFSET('Adjustment scenario'!$D$1:$W$1,$D8-1,0),MATCH(I$4,'Adjustment scenario'!$D$10:$W$10,0))</f>
        <v>-0.34913088615293553</v>
      </c>
      <c r="J8" s="276">
        <f ca="1">INDEX(OFFSET('Adjustment scenario'!$D$1:$W$1,$D8-1,0),MATCH(J$4,'Adjustment scenario'!$D$10:$W$10,0))</f>
        <v>-0.10183439126784602</v>
      </c>
      <c r="K8" s="276">
        <f ca="1">INDEX(OFFSET('Adjustment scenario'!$D$1:$W$1,$D8-1,0),MATCH(K$4,'Adjustment scenario'!$D$10:$W$10,0))</f>
        <v>6.2549317930843312E-2</v>
      </c>
      <c r="L8" s="276">
        <f ca="1">INDEX(OFFSET('Adjustment scenario'!$D$1:$W$1,$D8-1,0),MATCH(L$4,'Adjustment scenario'!$D$10:$W$10,0))</f>
        <v>4.1699545287225595E-2</v>
      </c>
      <c r="M8" s="276">
        <f ca="1">INDEX(OFFSET('Adjustment scenario'!$D$1:$W$1,$D8-1,0),MATCH(M$4,'Adjustment scenario'!$D$10:$W$10,0))</f>
        <v>2.0849772643607878E-2</v>
      </c>
      <c r="N8" s="276">
        <f ca="1">INDEX(OFFSET('Adjustment scenario'!$D$1:$W$1,$D8-1,0),MATCH(N$4,'Adjustment scenario'!$D$10:$W$10,0))</f>
        <v>0</v>
      </c>
      <c r="O8" s="276">
        <f ca="1">INDEX(OFFSET('Adjustment scenario'!$D$1:$W$1,$D8-1,0),MATCH(O$4,'Adjustment scenario'!$D$10:$W$10,0))</f>
        <v>-2.1780427015949398E-6</v>
      </c>
      <c r="P8" s="276">
        <f ca="1">INDEX(OFFSET('Adjustment scenario'!$D$1:$W$1,$D8-1,0),MATCH(P$4,'Adjustment scenario'!$D$10:$W$10,0))</f>
        <v>-3.4857621269646089E-6</v>
      </c>
      <c r="Q8" s="276">
        <f ca="1">INDEX(OFFSET('Adjustment scenario'!$D$1:$W$1,$D8-1,0),MATCH(Q$4,'Adjustment scenario'!$D$10:$W$10,0))</f>
        <v>-3.0496182034545074E-6</v>
      </c>
      <c r="R8" s="276">
        <f ca="1">INDEX(OFFSET('Adjustment scenario'!$D$1:$W$1,$D8-1,0),MATCH(R$4,'Adjustment scenario'!$D$10:$W$10,0))</f>
        <v>-4.3587630372154964E-6</v>
      </c>
      <c r="S8" s="276">
        <f ca="1">INDEX(OFFSET('Adjustment scenario'!$D$1:$W$1,$D8-1,0),MATCH(S$4,'Adjustment scenario'!$D$10:$W$10,0))</f>
        <v>-5.2320021893370592E-6</v>
      </c>
      <c r="T8" s="276">
        <f ca="1">INDEX(OFFSET('Adjustment scenario'!$D$1:$W$1,$D8-1,0),MATCH(T$4,'Adjustment scenario'!$D$10:$W$10,0))</f>
        <v>-5.6683046194327961E-6</v>
      </c>
      <c r="U8" s="276">
        <f ca="1">INDEX(OFFSET('Adjustment scenario'!$D$1:$W$1,$D8-1,0),MATCH(U$4,'Adjustment scenario'!$D$10:$W$10,0))</f>
        <v>-5.6683046292693719E-6</v>
      </c>
      <c r="V8" s="276">
        <f ca="1">INDEX(OFFSET('Adjustment scenario'!$D$1:$W$1,$D8-1,0),MATCH(V$4,'Adjustment scenario'!$D$10:$W$10,0))</f>
        <v>-5.6683046292693719E-6</v>
      </c>
      <c r="W8" s="276">
        <f ca="1">INDEX(OFFSET('Adjustment scenario'!$D$1:$W$1,$D8-1,0),MATCH(W$4,'Adjustment scenario'!$D$10:$W$10,0))</f>
        <v>-3.4898112747816514E-6</v>
      </c>
      <c r="X8" s="276">
        <f ca="1">INDEX(OFFSET('Adjustment scenario'!$D$1:$W$1,$D8-1,0),MATCH(X$4,'Adjustment scenario'!$D$10:$W$10,0))</f>
        <v>-3.4898112747816514E-6</v>
      </c>
      <c r="Y8" s="192"/>
    </row>
    <row r="9" spans="1:25" x14ac:dyDescent="0.2">
      <c r="A9" s="192"/>
      <c r="B9" s="283">
        <v>5</v>
      </c>
      <c r="C9" s="287" t="s">
        <v>157</v>
      </c>
      <c r="D9" s="288">
        <v>14</v>
      </c>
      <c r="E9" s="289" t="s">
        <v>153</v>
      </c>
      <c r="F9" s="276">
        <f ca="1">INDEX(OFFSET('Adjustment scenario'!$D$1:$W$1,$D9-1,0),MATCH(F$4,'Adjustment scenario'!$D$10:$W$10,0))</f>
        <v>0</v>
      </c>
      <c r="G9" s="276">
        <f ca="1">INDEX(OFFSET('Adjustment scenario'!$D$1:$W$1,$D9-1,0),MATCH(G$4,'Adjustment scenario'!$D$10:$W$10,0))</f>
        <v>0</v>
      </c>
      <c r="H9" s="276">
        <f ca="1">INDEX(OFFSET('Adjustment scenario'!$D$1:$W$1,$D9-1,0),MATCH(H$4,'Adjustment scenario'!$D$10:$W$10,0))</f>
        <v>0</v>
      </c>
      <c r="I9" s="276">
        <f ca="1">INDEX(OFFSET('Adjustment scenario'!$D$1:$W$1,$D9-1,0),MATCH(I$4,'Adjustment scenario'!$D$10:$W$10,0))</f>
        <v>0</v>
      </c>
      <c r="J9" s="276">
        <f ca="1">INDEX(OFFSET('Adjustment scenario'!$D$1:$W$1,$D9-1,0),MATCH(J$4,'Adjustment scenario'!$D$10:$W$10,0))</f>
        <v>0</v>
      </c>
      <c r="K9" s="276">
        <f ca="1">INDEX(OFFSET('Adjustment scenario'!$D$1:$W$1,$D9-1,0),MATCH(K$4,'Adjustment scenario'!$D$10:$W$10,0))</f>
        <v>0</v>
      </c>
      <c r="L9" s="276">
        <f ca="1">INDEX(OFFSET('Adjustment scenario'!$D$1:$W$1,$D9-1,0),MATCH(L$4,'Adjustment scenario'!$D$10:$W$10,0))</f>
        <v>0</v>
      </c>
      <c r="M9" s="276">
        <f ca="1">INDEX(OFFSET('Adjustment scenario'!$D$1:$W$1,$D9-1,0),MATCH(M$4,'Adjustment scenario'!$D$10:$W$10,0))</f>
        <v>0</v>
      </c>
      <c r="N9" s="276">
        <f ca="1">INDEX(OFFSET('Adjustment scenario'!$D$1:$W$1,$D9-1,0),MATCH(N$4,'Adjustment scenario'!$D$10:$W$10,0))</f>
        <v>0</v>
      </c>
      <c r="O9" s="276">
        <f ca="1">INDEX(OFFSET('Adjustment scenario'!$D$1:$W$1,$D9-1,0),MATCH(O$4,'Adjustment scenario'!$D$10:$W$10,0))</f>
        <v>0</v>
      </c>
      <c r="P9" s="276">
        <f ca="1">INDEX(OFFSET('Adjustment scenario'!$D$1:$W$1,$D9-1,0),MATCH(P$4,'Adjustment scenario'!$D$10:$W$10,0))</f>
        <v>0</v>
      </c>
      <c r="Q9" s="276">
        <f ca="1">INDEX(OFFSET('Adjustment scenario'!$D$1:$W$1,$D9-1,0),MATCH(Q$4,'Adjustment scenario'!$D$10:$W$10,0))</f>
        <v>0</v>
      </c>
      <c r="R9" s="276">
        <f ca="1">INDEX(OFFSET('Adjustment scenario'!$D$1:$W$1,$D9-1,0),MATCH(R$4,'Adjustment scenario'!$D$10:$W$10,0))</f>
        <v>0</v>
      </c>
      <c r="S9" s="276">
        <f ca="1">INDEX(OFFSET('Adjustment scenario'!$D$1:$W$1,$D9-1,0),MATCH(S$4,'Adjustment scenario'!$D$10:$W$10,0))</f>
        <v>0</v>
      </c>
      <c r="T9" s="276">
        <f ca="1">INDEX(OFFSET('Adjustment scenario'!$D$1:$W$1,$D9-1,0),MATCH(T$4,'Adjustment scenario'!$D$10:$W$10,0))</f>
        <v>0</v>
      </c>
      <c r="U9" s="276">
        <f ca="1">INDEX(OFFSET('Adjustment scenario'!$D$1:$W$1,$D9-1,0),MATCH(U$4,'Adjustment scenario'!$D$10:$W$10,0))</f>
        <v>0</v>
      </c>
      <c r="V9" s="276">
        <f ca="1">INDEX(OFFSET('Adjustment scenario'!$D$1:$W$1,$D9-1,0),MATCH(V$4,'Adjustment scenario'!$D$10:$W$10,0))</f>
        <v>0</v>
      </c>
      <c r="W9" s="276">
        <f ca="1">INDEX(OFFSET('Adjustment scenario'!$D$1:$W$1,$D9-1,0),MATCH(W$4,'Adjustment scenario'!$D$10:$W$10,0))</f>
        <v>0</v>
      </c>
      <c r="X9" s="276">
        <f ca="1">INDEX(OFFSET('Adjustment scenario'!$D$1:$W$1,$D9-1,0),MATCH(X$4,'Adjustment scenario'!$D$10:$W$10,0))</f>
        <v>0</v>
      </c>
      <c r="Y9" s="192"/>
    </row>
    <row r="10" spans="1:25" x14ac:dyDescent="0.2">
      <c r="A10" s="192"/>
      <c r="B10" s="283">
        <v>6</v>
      </c>
      <c r="C10" s="287" t="s">
        <v>158</v>
      </c>
      <c r="D10" s="288">
        <v>68</v>
      </c>
      <c r="E10" s="289" t="s">
        <v>153</v>
      </c>
      <c r="F10" s="276">
        <f ca="1">INDEX(OFFSET('Adjustment scenario'!$D$1:$W$1,$D10-1,0),MATCH(F$4,'Adjustment scenario'!$D$10:$W$10,0))</f>
        <v>1.6914749590209448</v>
      </c>
      <c r="G10" s="276">
        <f ca="1">INDEX(OFFSET('Adjustment scenario'!$D$1:$W$1,$D10-1,0),MATCH(G$4,'Adjustment scenario'!$D$10:$W$10,0))</f>
        <v>1.6292561590832533</v>
      </c>
      <c r="H10" s="276">
        <f ca="1">INDEX(OFFSET('Adjustment scenario'!$D$1:$W$1,$D10-1,0),MATCH(H$4,'Adjustment scenario'!$D$10:$W$10,0))</f>
        <v>1.6001833700382948</v>
      </c>
      <c r="I10" s="276">
        <f ca="1">INDEX(OFFSET('Adjustment scenario'!$D$1:$W$1,$D10-1,0),MATCH(I$4,'Adjustment scenario'!$D$10:$W$10,0))</f>
        <v>1.6566901887490073</v>
      </c>
      <c r="J10" s="276">
        <f ca="1">INDEX(OFFSET('Adjustment scenario'!$D$1:$W$1,$D10-1,0),MATCH(J$4,'Adjustment scenario'!$D$10:$W$10,0))</f>
        <v>1.7179740095105371</v>
      </c>
      <c r="K10" s="276">
        <f ca="1">INDEX(OFFSET('Adjustment scenario'!$D$1:$W$1,$D10-1,0),MATCH(K$4,'Adjustment scenario'!$D$10:$W$10,0))</f>
        <v>1.7767214522054608</v>
      </c>
      <c r="L10" s="276">
        <f ca="1">INDEX(OFFSET('Adjustment scenario'!$D$1:$W$1,$D10-1,0),MATCH(L$4,'Adjustment scenario'!$D$10:$W$10,0))</f>
        <v>1.8232301955739239</v>
      </c>
      <c r="M10" s="276">
        <f ca="1">INDEX(OFFSET('Adjustment scenario'!$D$1:$W$1,$D10-1,0),MATCH(M$4,'Adjustment scenario'!$D$10:$W$10,0))</f>
        <v>1.8730492351447048</v>
      </c>
      <c r="N10" s="276">
        <f ca="1">INDEX(OFFSET('Adjustment scenario'!$D$1:$W$1,$D10-1,0),MATCH(N$4,'Adjustment scenario'!$D$10:$W$10,0))</f>
        <v>1.9259728279424457</v>
      </c>
      <c r="O10" s="276">
        <f ca="1">INDEX(OFFSET('Adjustment scenario'!$D$1:$W$1,$D10-1,0),MATCH(O$4,'Adjustment scenario'!$D$10:$W$10,0))</f>
        <v>1.9819150293478298</v>
      </c>
      <c r="P10" s="276">
        <f ca="1">INDEX(OFFSET('Adjustment scenario'!$D$1:$W$1,$D10-1,0),MATCH(P$4,'Adjustment scenario'!$D$10:$W$10,0))</f>
        <v>2.0397414681649577</v>
      </c>
      <c r="Q10" s="276">
        <f ca="1">INDEX(OFFSET('Adjustment scenario'!$D$1:$W$1,$D10-1,0),MATCH(Q$4,'Adjustment scenario'!$D$10:$W$10,0))</f>
        <v>2.0892838544026087</v>
      </c>
      <c r="R10" s="276">
        <f ca="1">INDEX(OFFSET('Adjustment scenario'!$D$1:$W$1,$D10-1,0),MATCH(R$4,'Adjustment scenario'!$D$10:$W$10,0))</f>
        <v>2.1320838523975092</v>
      </c>
      <c r="S10" s="276">
        <f ca="1">INDEX(OFFSET('Adjustment scenario'!$D$1:$W$1,$D10-1,0),MATCH(S$4,'Adjustment scenario'!$D$10:$W$10,0))</f>
        <v>2.169721517639549</v>
      </c>
      <c r="T10" s="276">
        <f ca="1">INDEX(OFFSET('Adjustment scenario'!$D$1:$W$1,$D10-1,0),MATCH(T$4,'Adjustment scenario'!$D$10:$W$10,0))</f>
        <v>2.2000976908719272</v>
      </c>
      <c r="U10" s="276">
        <f ca="1">INDEX(OFFSET('Adjustment scenario'!$D$1:$W$1,$D10-1,0),MATCH(U$4,'Adjustment scenario'!$D$10:$W$10,0))</f>
        <v>2.223712279441131</v>
      </c>
      <c r="V10" s="276">
        <f ca="1">INDEX(OFFSET('Adjustment scenario'!$D$1:$W$1,$D10-1,0),MATCH(V$4,'Adjustment scenario'!$D$10:$W$10,0))</f>
        <v>2.2401815341288693</v>
      </c>
      <c r="W10" s="276">
        <f ca="1">INDEX(OFFSET('Adjustment scenario'!$D$1:$W$1,$D10-1,0),MATCH(W$4,'Adjustment scenario'!$D$10:$W$10,0))</f>
        <v>2.2497393548937268</v>
      </c>
      <c r="X10" s="276">
        <f ca="1">INDEX(OFFSET('Adjustment scenario'!$D$1:$W$1,$D10-1,0),MATCH(X$4,'Adjustment scenario'!$D$10:$W$10,0))</f>
        <v>2.2542121349019366</v>
      </c>
      <c r="Y10" s="192"/>
    </row>
    <row r="11" spans="1:25" x14ac:dyDescent="0.2">
      <c r="A11" s="192"/>
      <c r="B11" s="283">
        <v>7</v>
      </c>
      <c r="C11" s="290" t="s">
        <v>66</v>
      </c>
      <c r="D11" s="288">
        <v>37</v>
      </c>
      <c r="E11" s="289" t="s">
        <v>159</v>
      </c>
      <c r="F11" s="276">
        <f ca="1">INDEX(OFFSET('Adjustment scenario'!$D$1:$W$1,$D11-1,0),MATCH(F$4,'Adjustment scenario'!$D$10:$W$10,0))</f>
        <v>3.8</v>
      </c>
      <c r="G11" s="276">
        <f ca="1">INDEX(OFFSET('Adjustment scenario'!$D$1:$W$1,$D11-1,0),MATCH(G$4,'Adjustment scenario'!$D$10:$W$10,0))</f>
        <v>3.3516180000000002</v>
      </c>
      <c r="H11" s="276">
        <f ca="1">INDEX(OFFSET('Adjustment scenario'!$D$1:$W$1,$D11-1,0),MATCH(H$4,'Adjustment scenario'!$D$10:$W$10,0))</f>
        <v>3.4386399999999999</v>
      </c>
      <c r="I11" s="276">
        <f ca="1">INDEX(OFFSET('Adjustment scenario'!$D$1:$W$1,$D11-1,0),MATCH(I$4,'Adjustment scenario'!$D$10:$W$10,0))</f>
        <v>3.5561875000000001</v>
      </c>
      <c r="J11" s="276">
        <f ca="1">INDEX(OFFSET('Adjustment scenario'!$D$1:$W$1,$D11-1,0),MATCH(J$4,'Adjustment scenario'!$D$10:$W$10,0))</f>
        <v>3.6737350000000002</v>
      </c>
      <c r="K11" s="276">
        <f ca="1">INDEX(OFFSET('Adjustment scenario'!$D$1:$W$1,$D11-1,0),MATCH(K$4,'Adjustment scenario'!$D$10:$W$10,0))</f>
        <v>3.7912825000000003</v>
      </c>
      <c r="L11" s="276">
        <f ca="1">INDEX(OFFSET('Adjustment scenario'!$D$1:$W$1,$D11-1,0),MATCH(L$4,'Adjustment scenario'!$D$10:$W$10,0))</f>
        <v>3.9088300000000005</v>
      </c>
      <c r="M11" s="276">
        <f ca="1">INDEX(OFFSET('Adjustment scenario'!$D$1:$W$1,$D11-1,0),MATCH(M$4,'Adjustment scenario'!$D$10:$W$10,0))</f>
        <v>4.0263775000000006</v>
      </c>
      <c r="N11" s="276">
        <f ca="1">INDEX(OFFSET('Adjustment scenario'!$D$1:$W$1,$D11-1,0),MATCH(N$4,'Adjustment scenario'!$D$10:$W$10,0))</f>
        <v>4.1439250000000003</v>
      </c>
      <c r="O11" s="276">
        <f ca="1">INDEX(OFFSET('Adjustment scenario'!$D$1:$W$1,$D11-1,0),MATCH(O$4,'Adjustment scenario'!$D$10:$W$10,0))</f>
        <v>4.2614725</v>
      </c>
      <c r="P11" s="276">
        <f ca="1">INDEX(OFFSET('Adjustment scenario'!$D$1:$W$1,$D11-1,0),MATCH(P$4,'Adjustment scenario'!$D$10:$W$10,0))</f>
        <v>4.3790199999999997</v>
      </c>
      <c r="Q11" s="276">
        <f ca="1">INDEX(OFFSET('Adjustment scenario'!$D$1:$W$1,$D11-1,0),MATCH(Q$4,'Adjustment scenario'!$D$10:$W$10,0))</f>
        <v>4.3600689999999993</v>
      </c>
      <c r="R11" s="276">
        <f ca="1">INDEX(OFFSET('Adjustment scenario'!$D$1:$W$1,$D11-1,0),MATCH(R$4,'Adjustment scenario'!$D$10:$W$10,0))</f>
        <v>4.3411179999999998</v>
      </c>
      <c r="S11" s="276">
        <f ca="1">INDEX(OFFSET('Adjustment scenario'!$D$1:$W$1,$D11-1,0),MATCH(S$4,'Adjustment scenario'!$D$10:$W$10,0))</f>
        <v>4.3221669999999994</v>
      </c>
      <c r="T11" s="276">
        <f ca="1">INDEX(OFFSET('Adjustment scenario'!$D$1:$W$1,$D11-1,0),MATCH(T$4,'Adjustment scenario'!$D$10:$W$10,0))</f>
        <v>4.3032159999999999</v>
      </c>
      <c r="U11" s="276">
        <f ca="1">INDEX(OFFSET('Adjustment scenario'!$D$1:$W$1,$D11-1,0),MATCH(U$4,'Adjustment scenario'!$D$10:$W$10,0))</f>
        <v>4.2842649999999995</v>
      </c>
      <c r="V11" s="276">
        <f ca="1">INDEX(OFFSET('Adjustment scenario'!$D$1:$W$1,$D11-1,0),MATCH(V$4,'Adjustment scenario'!$D$10:$W$10,0))</f>
        <v>4.265314</v>
      </c>
      <c r="W11" s="276">
        <f ca="1">INDEX(OFFSET('Adjustment scenario'!$D$1:$W$1,$D11-1,0),MATCH(W$4,'Adjustment scenario'!$D$10:$W$10,0))</f>
        <v>4.2463629999999997</v>
      </c>
      <c r="X11" s="276">
        <f ca="1">INDEX(OFFSET('Adjustment scenario'!$D$1:$W$1,$D11-1,0),MATCH(X$4,'Adjustment scenario'!$D$10:$W$10,0))</f>
        <v>4.2274120000000002</v>
      </c>
      <c r="Y11" s="192"/>
    </row>
    <row r="12" spans="1:25" x14ac:dyDescent="0.2">
      <c r="A12" s="192"/>
      <c r="B12" s="283">
        <v>8</v>
      </c>
      <c r="C12" s="290" t="s">
        <v>67</v>
      </c>
      <c r="D12" s="288">
        <v>38</v>
      </c>
      <c r="E12" s="289" t="s">
        <v>159</v>
      </c>
      <c r="F12" s="276">
        <f ca="1">INDEX(OFFSET('Adjustment scenario'!$D$1:$W$1,$D12-1,0),MATCH(F$4,'Adjustment scenario'!$D$10:$W$10,0))</f>
        <v>3.43</v>
      </c>
      <c r="G12" s="276">
        <f ca="1">INDEX(OFFSET('Adjustment scenario'!$D$1:$W$1,$D12-1,0),MATCH(G$4,'Adjustment scenario'!$D$10:$W$10,0))</f>
        <v>3.5642079999999998</v>
      </c>
      <c r="H12" s="276">
        <f ca="1">INDEX(OFFSET('Adjustment scenario'!$D$1:$W$1,$D12-1,0),MATCH(H$4,'Adjustment scenario'!$D$10:$W$10,0))</f>
        <v>2.8163749999999999</v>
      </c>
      <c r="I12" s="276">
        <f ca="1">INDEX(OFFSET('Adjustment scenario'!$D$1:$W$1,$D12-1,0),MATCH(I$4,'Adjustment scenario'!$D$10:$W$10,0))</f>
        <v>2.8050893749999997</v>
      </c>
      <c r="J12" s="276">
        <f ca="1">INDEX(OFFSET('Adjustment scenario'!$D$1:$W$1,$D12-1,0),MATCH(J$4,'Adjustment scenario'!$D$10:$W$10,0))</f>
        <v>2.7938037499999995</v>
      </c>
      <c r="K12" s="276">
        <f ca="1">INDEX(OFFSET('Adjustment scenario'!$D$1:$W$1,$D12-1,0),MATCH(K$4,'Adjustment scenario'!$D$10:$W$10,0))</f>
        <v>2.7825181249999993</v>
      </c>
      <c r="L12" s="276">
        <f ca="1">INDEX(OFFSET('Adjustment scenario'!$D$1:$W$1,$D12-1,0),MATCH(L$4,'Adjustment scenario'!$D$10:$W$10,0))</f>
        <v>2.7712324999999991</v>
      </c>
      <c r="M12" s="276">
        <f ca="1">INDEX(OFFSET('Adjustment scenario'!$D$1:$W$1,$D12-1,0),MATCH(M$4,'Adjustment scenario'!$D$10:$W$10,0))</f>
        <v>2.7599468749999989</v>
      </c>
      <c r="N12" s="276">
        <f ca="1">INDEX(OFFSET('Adjustment scenario'!$D$1:$W$1,$D12-1,0),MATCH(N$4,'Adjustment scenario'!$D$10:$W$10,0))</f>
        <v>2.7486612499999987</v>
      </c>
      <c r="O12" s="276">
        <f ca="1">INDEX(OFFSET('Adjustment scenario'!$D$1:$W$1,$D12-1,0),MATCH(O$4,'Adjustment scenario'!$D$10:$W$10,0))</f>
        <v>2.7373756249999985</v>
      </c>
      <c r="P12" s="276">
        <f ca="1">INDEX(OFFSET('Adjustment scenario'!$D$1:$W$1,$D12-1,0),MATCH(P$4,'Adjustment scenario'!$D$10:$W$10,0))</f>
        <v>2.7260900000000001</v>
      </c>
      <c r="Q12" s="276">
        <f ca="1">INDEX(OFFSET('Adjustment scenario'!$D$1:$W$1,$D12-1,0),MATCH(Q$4,'Adjustment scenario'!$D$10:$W$10,0))</f>
        <v>2.6897855000000002</v>
      </c>
      <c r="R12" s="276">
        <f ca="1">INDEX(OFFSET('Adjustment scenario'!$D$1:$W$1,$D12-1,0),MATCH(R$4,'Adjustment scenario'!$D$10:$W$10,0))</f>
        <v>2.6534810000000002</v>
      </c>
      <c r="S12" s="276">
        <f ca="1">INDEX(OFFSET('Adjustment scenario'!$D$1:$W$1,$D12-1,0),MATCH(S$4,'Adjustment scenario'!$D$10:$W$10,0))</f>
        <v>2.6171765000000002</v>
      </c>
      <c r="T12" s="276">
        <f ca="1">INDEX(OFFSET('Adjustment scenario'!$D$1:$W$1,$D12-1,0),MATCH(T$4,'Adjustment scenario'!$D$10:$W$10,0))</f>
        <v>2.5808720000000003</v>
      </c>
      <c r="U12" s="276">
        <f ca="1">INDEX(OFFSET('Adjustment scenario'!$D$1:$W$1,$D12-1,0),MATCH(U$4,'Adjustment scenario'!$D$10:$W$10,0))</f>
        <v>2.5445675000000003</v>
      </c>
      <c r="V12" s="276">
        <f ca="1">INDEX(OFFSET('Adjustment scenario'!$D$1:$W$1,$D12-1,0),MATCH(V$4,'Adjustment scenario'!$D$10:$W$10,0))</f>
        <v>2.5082629999999999</v>
      </c>
      <c r="W12" s="276">
        <f ca="1">INDEX(OFFSET('Adjustment scenario'!$D$1:$W$1,$D12-1,0),MATCH(W$4,'Adjustment scenario'!$D$10:$W$10,0))</f>
        <v>2.4719584999999999</v>
      </c>
      <c r="X12" s="276">
        <f ca="1">INDEX(OFFSET('Adjustment scenario'!$D$1:$W$1,$D12-1,0),MATCH(X$4,'Adjustment scenario'!$D$10:$W$10,0))</f>
        <v>2.435654</v>
      </c>
      <c r="Y12" s="192"/>
    </row>
    <row r="13" spans="1:25" x14ac:dyDescent="0.2">
      <c r="A13" s="192"/>
      <c r="B13" s="283">
        <v>9</v>
      </c>
      <c r="C13" s="287" t="s">
        <v>160</v>
      </c>
      <c r="D13" s="288">
        <v>36</v>
      </c>
      <c r="E13" s="289" t="s">
        <v>159</v>
      </c>
      <c r="F13" s="276">
        <f ca="1">INDEX(OFFSET('Adjustment scenario'!$D$1:$W$1,$D13-1,0),MATCH(F$4,'Adjustment scenario'!$D$10:$W$10,0))</f>
        <v>2.7909440000000001</v>
      </c>
      <c r="G13" s="276">
        <f ca="1">INDEX(OFFSET('Adjustment scenario'!$D$1:$W$1,$D13-1,0),MATCH(G$4,'Adjustment scenario'!$D$10:$W$10,0))</f>
        <v>2.8182960000000001</v>
      </c>
      <c r="H13" s="276">
        <f ca="1">INDEX(OFFSET('Adjustment scenario'!$D$1:$W$1,$D13-1,0),MATCH(H$4,'Adjustment scenario'!$D$10:$W$10,0))</f>
        <v>2.8191980000000001</v>
      </c>
      <c r="I13" s="276">
        <f ca="1">INDEX(OFFSET('Adjustment scenario'!$D$1:$W$1,$D13-1,0),MATCH(I$4,'Adjustment scenario'!$D$10:$W$10,0))</f>
        <v>2.9124919734040993</v>
      </c>
      <c r="J13" s="276">
        <f ca="1">INDEX(OFFSET('Adjustment scenario'!$D$1:$W$1,$D13-1,0),MATCH(J$4,'Adjustment scenario'!$D$10:$W$10,0))</f>
        <v>3.0114461648238589</v>
      </c>
      <c r="K13" s="276">
        <f ca="1">INDEX(OFFSET('Adjustment scenario'!$D$1:$W$1,$D13-1,0),MATCH(K$4,'Adjustment scenario'!$D$10:$W$10,0))</f>
        <v>3.1119386241492526</v>
      </c>
      <c r="L13" s="276">
        <f ca="1">INDEX(OFFSET('Adjustment scenario'!$D$1:$W$1,$D13-1,0),MATCH(L$4,'Adjustment scenario'!$D$10:$W$10,0))</f>
        <v>3.2128777773736634</v>
      </c>
      <c r="M13" s="276">
        <f ca="1">INDEX(OFFSET('Adjustment scenario'!$D$1:$W$1,$D13-1,0),MATCH(M$4,'Adjustment scenario'!$D$10:$W$10,0))</f>
        <v>3.3164953087302176</v>
      </c>
      <c r="N13" s="276">
        <f ca="1">INDEX(OFFSET('Adjustment scenario'!$D$1:$W$1,$D13-1,0),MATCH(N$4,'Adjustment scenario'!$D$10:$W$10,0))</f>
        <v>3.4223521508075292</v>
      </c>
      <c r="O13" s="276">
        <f ca="1">INDEX(OFFSET('Adjustment scenario'!$D$1:$W$1,$D13-1,0),MATCH(O$4,'Adjustment scenario'!$D$10:$W$10,0))</f>
        <v>3.5301141884243519</v>
      </c>
      <c r="P13" s="276">
        <f ca="1">INDEX(OFFSET('Adjustment scenario'!$D$1:$W$1,$D13-1,0),MATCH(P$4,'Adjustment scenario'!$D$10:$W$10,0))</f>
        <v>3.6395513511527686</v>
      </c>
      <c r="Q13" s="276">
        <f ca="1">INDEX(OFFSET('Adjustment scenario'!$D$1:$W$1,$D13-1,0),MATCH(Q$4,'Adjustment scenario'!$D$10:$W$10,0))</f>
        <v>3.7307914396703907</v>
      </c>
      <c r="R13" s="276">
        <f ca="1">INDEX(OFFSET('Adjustment scenario'!$D$1:$W$1,$D13-1,0),MATCH(R$4,'Adjustment scenario'!$D$10:$W$10,0))</f>
        <v>3.8063486569275624</v>
      </c>
      <c r="S13" s="276">
        <f ca="1">INDEX(OFFSET('Adjustment scenario'!$D$1:$W$1,$D13-1,0),MATCH(S$4,'Adjustment scenario'!$D$10:$W$10,0))</f>
        <v>3.8684511038563403</v>
      </c>
      <c r="T13" s="276">
        <f ca="1">INDEX(OFFSET('Adjustment scenario'!$D$1:$W$1,$D13-1,0),MATCH(T$4,'Adjustment scenario'!$D$10:$W$10,0))</f>
        <v>3.9189111920950088</v>
      </c>
      <c r="U13" s="276">
        <f ca="1">INDEX(OFFSET('Adjustment scenario'!$D$1:$W$1,$D13-1,0),MATCH(U$4,'Adjustment scenario'!$D$10:$W$10,0))</f>
        <v>3.9592331264446479</v>
      </c>
      <c r="V13" s="276">
        <f ca="1">INDEX(OFFSET('Adjustment scenario'!$D$1:$W$1,$D13-1,0),MATCH(V$4,'Adjustment scenario'!$D$10:$W$10,0))</f>
        <v>3.9908666400100672</v>
      </c>
      <c r="W13" s="276">
        <f ca="1">INDEX(OFFSET('Adjustment scenario'!$D$1:$W$1,$D13-1,0),MATCH(W$4,'Adjustment scenario'!$D$10:$W$10,0))</f>
        <v>4.0150666268756066</v>
      </c>
      <c r="X13" s="276">
        <f ca="1">INDEX(OFFSET('Adjustment scenario'!$D$1:$W$1,$D13-1,0),MATCH(X$4,'Adjustment scenario'!$D$10:$W$10,0))</f>
        <v>4.0329470632610942</v>
      </c>
      <c r="Y13" s="192"/>
    </row>
    <row r="14" spans="1:25" x14ac:dyDescent="0.2">
      <c r="A14" s="192"/>
      <c r="B14" s="283">
        <v>10</v>
      </c>
      <c r="C14" s="287" t="s">
        <v>161</v>
      </c>
      <c r="D14" s="288">
        <v>72</v>
      </c>
      <c r="E14" s="289" t="s">
        <v>153</v>
      </c>
      <c r="F14" s="276">
        <f ca="1">INDEX(OFFSET('Adjustment scenario'!$D$1:$W$1,$D14-1,0),MATCH(F$4,'Adjustment scenario'!$D$10:$W$10,0))</f>
        <v>1.7555499999999999</v>
      </c>
      <c r="G14" s="276">
        <f ca="1">INDEX(OFFSET('Adjustment scenario'!$D$1:$W$1,$D14-1,0),MATCH(G$4,'Adjustment scenario'!$D$10:$W$10,0))</f>
        <v>-0.91088740000000001</v>
      </c>
      <c r="H14" s="276">
        <f ca="1">INDEX(OFFSET('Adjustment scenario'!$D$1:$W$1,$D14-1,0),MATCH(H$4,'Adjustment scenario'!$D$10:$W$10,0))</f>
        <v>3.8232000000000001E-3</v>
      </c>
      <c r="I14" s="276">
        <f ca="1">INDEX(OFFSET('Adjustment scenario'!$D$1:$W$1,$D14-1,0),MATCH(I$4,'Adjustment scenario'!$D$10:$W$10,0))</f>
        <v>0</v>
      </c>
      <c r="J14" s="276">
        <f ca="1">INDEX(OFFSET('Adjustment scenario'!$D$1:$W$1,$D14-1,0),MATCH(J$4,'Adjustment scenario'!$D$10:$W$10,0))</f>
        <v>0</v>
      </c>
      <c r="K14" s="276">
        <f ca="1">INDEX(OFFSET('Adjustment scenario'!$D$1:$W$1,$D14-1,0),MATCH(K$4,'Adjustment scenario'!$D$10:$W$10,0))</f>
        <v>0</v>
      </c>
      <c r="L14" s="276">
        <f ca="1">INDEX(OFFSET('Adjustment scenario'!$D$1:$W$1,$D14-1,0),MATCH(L$4,'Adjustment scenario'!$D$10:$W$10,0))</f>
        <v>0</v>
      </c>
      <c r="M14" s="276">
        <f ca="1">INDEX(OFFSET('Adjustment scenario'!$D$1:$W$1,$D14-1,0),MATCH(M$4,'Adjustment scenario'!$D$10:$W$10,0))</f>
        <v>0</v>
      </c>
      <c r="N14" s="276">
        <f ca="1">INDEX(OFFSET('Adjustment scenario'!$D$1:$W$1,$D14-1,0),MATCH(N$4,'Adjustment scenario'!$D$10:$W$10,0))</f>
        <v>0</v>
      </c>
      <c r="O14" s="276">
        <f ca="1">INDEX(OFFSET('Adjustment scenario'!$D$1:$W$1,$D14-1,0),MATCH(O$4,'Adjustment scenario'!$D$10:$W$10,0))</f>
        <v>0</v>
      </c>
      <c r="P14" s="276">
        <f ca="1">INDEX(OFFSET('Adjustment scenario'!$D$1:$W$1,$D14-1,0),MATCH(P$4,'Adjustment scenario'!$D$10:$W$10,0))</f>
        <v>0</v>
      </c>
      <c r="Q14" s="276">
        <f ca="1">INDEX(OFFSET('Adjustment scenario'!$D$1:$W$1,$D14-1,0),MATCH(Q$4,'Adjustment scenario'!$D$10:$W$10,0))</f>
        <v>0</v>
      </c>
      <c r="R14" s="276">
        <f ca="1">INDEX(OFFSET('Adjustment scenario'!$D$1:$W$1,$D14-1,0),MATCH(R$4,'Adjustment scenario'!$D$10:$W$10,0))</f>
        <v>0</v>
      </c>
      <c r="S14" s="276">
        <f ca="1">INDEX(OFFSET('Adjustment scenario'!$D$1:$W$1,$D14-1,0),MATCH(S$4,'Adjustment scenario'!$D$10:$W$10,0))</f>
        <v>0</v>
      </c>
      <c r="T14" s="276">
        <f ca="1">INDEX(OFFSET('Adjustment scenario'!$D$1:$W$1,$D14-1,0),MATCH(T$4,'Adjustment scenario'!$D$10:$W$10,0))</f>
        <v>0</v>
      </c>
      <c r="U14" s="276">
        <f ca="1">INDEX(OFFSET('Adjustment scenario'!$D$1:$W$1,$D14-1,0),MATCH(U$4,'Adjustment scenario'!$D$10:$W$10,0))</f>
        <v>0</v>
      </c>
      <c r="V14" s="276">
        <f ca="1">INDEX(OFFSET('Adjustment scenario'!$D$1:$W$1,$D14-1,0),MATCH(V$4,'Adjustment scenario'!$D$10:$W$10,0))</f>
        <v>0</v>
      </c>
      <c r="W14" s="276">
        <f ca="1">INDEX(OFFSET('Adjustment scenario'!$D$1:$W$1,$D14-1,0),MATCH(W$4,'Adjustment scenario'!$D$10:$W$10,0))</f>
        <v>0</v>
      </c>
      <c r="X14" s="276">
        <f ca="1">INDEX(OFFSET('Adjustment scenario'!$D$1:$W$1,$D14-1,0),MATCH(X$4,'Adjustment scenario'!$D$10:$W$10,0))</f>
        <v>0</v>
      </c>
      <c r="Y14" s="192"/>
    </row>
    <row r="15" spans="1:25" x14ac:dyDescent="0.2">
      <c r="A15" s="192"/>
      <c r="B15" s="283">
        <v>11</v>
      </c>
      <c r="C15" s="291" t="s">
        <v>40</v>
      </c>
      <c r="D15" s="288">
        <v>27</v>
      </c>
      <c r="E15" s="289" t="s">
        <v>162</v>
      </c>
      <c r="F15" s="276">
        <f ca="1">(INDEX(OFFSET('Adjustment scenario'!$D$1:$W$1,$D15-1,0),MATCH(F$4,'Adjustment scenario'!$D$10:$W$10,0))/INDEX(OFFSET('Adjustment scenario'!$D$1:$W$1,$D15-1,0),MATCH(E$4,'Adjustment scenario'!$D$10:$W$10,0))-1)*100</f>
        <v>4.1108680000000009</v>
      </c>
      <c r="G15" s="276">
        <f ca="1">(INDEX(OFFSET('Adjustment scenario'!$D$1:$W$1,$D15-1,0),MATCH(G$4,'Adjustment scenario'!$D$10:$W$10,0))/INDEX(OFFSET('Adjustment scenario'!$D$1:$W$1,$D15-1,0),MATCH(F$4,'Adjustment scenario'!$D$10:$W$10,0))-1)*100</f>
        <v>3.6275620000000064</v>
      </c>
      <c r="H15" s="276">
        <f ca="1">(INDEX(OFFSET('Adjustment scenario'!$D$1:$W$1,$D15-1,0),MATCH(H$4,'Adjustment scenario'!$D$10:$W$10,0))/INDEX(OFFSET('Adjustment scenario'!$D$1:$W$1,$D15-1,0),MATCH(G$4,'Adjustment scenario'!$D$10:$W$10,0))-1)*100</f>
        <v>3.2421229999999968</v>
      </c>
      <c r="I15" s="276">
        <f ca="1">(INDEX(OFFSET('Adjustment scenario'!$D$1:$W$1,$D15-1,0),MATCH(I$4,'Adjustment scenario'!$D$10:$W$10,0))/INDEX(OFFSET('Adjustment scenario'!$D$1:$W$1,$D15-1,0),MATCH(H$4,'Adjustment scenario'!$D$10:$W$10,0))-1)*100</f>
        <v>2.6986640000000062</v>
      </c>
      <c r="J15" s="276">
        <f ca="1">(INDEX(OFFSET('Adjustment scenario'!$D$1:$W$1,$D15-1,0),MATCH(J$4,'Adjustment scenario'!$D$10:$W$10,0))/INDEX(OFFSET('Adjustment scenario'!$D$1:$W$1,$D15-1,0),MATCH(I$4,'Adjustment scenario'!$D$10:$W$10,0))-1)*100</f>
        <v>2.3127640000000005</v>
      </c>
      <c r="K15" s="276">
        <f ca="1">(INDEX(OFFSET('Adjustment scenario'!$D$1:$W$1,$D15-1,0),MATCH(K$4,'Adjustment scenario'!$D$10:$W$10,0))/INDEX(OFFSET('Adjustment scenario'!$D$1:$W$1,$D15-1,0),MATCH(J$4,'Adjustment scenario'!$D$10:$W$10,0))-1)*100</f>
        <v>2.1209859999999914</v>
      </c>
      <c r="L15" s="276">
        <f ca="1">(INDEX(OFFSET('Adjustment scenario'!$D$1:$W$1,$D15-1,0),MATCH(L$4,'Adjustment scenario'!$D$10:$W$10,0))/INDEX(OFFSET('Adjustment scenario'!$D$1:$W$1,$D15-1,0),MATCH(K$4,'Adjustment scenario'!$D$10:$W$10,0))-1)*100</f>
        <v>2.0395689999999966</v>
      </c>
      <c r="M15" s="276">
        <f ca="1">(INDEX(OFFSET('Adjustment scenario'!$D$1:$W$1,$D15-1,0),MATCH(M$4,'Adjustment scenario'!$D$10:$W$10,0))/INDEX(OFFSET('Adjustment scenario'!$D$1:$W$1,$D15-1,0),MATCH(L$4,'Adjustment scenario'!$D$10:$W$10,0))-1)*100</f>
        <v>1.914810999999994</v>
      </c>
      <c r="N15" s="276">
        <f ca="1">(INDEX(OFFSET('Adjustment scenario'!$D$1:$W$1,$D15-1,0),MATCH(N$4,'Adjustment scenario'!$D$10:$W$10,0))/INDEX(OFFSET('Adjustment scenario'!$D$1:$W$1,$D15-1,0),MATCH(M$4,'Adjustment scenario'!$D$10:$W$10,0))-1)*100</f>
        <v>1.7826209999999953</v>
      </c>
      <c r="O15" s="276">
        <f ca="1">(INDEX(OFFSET('Adjustment scenario'!$D$1:$W$1,$D15-1,0),MATCH(O$4,'Adjustment scenario'!$D$10:$W$10,0))/INDEX(OFFSET('Adjustment scenario'!$D$1:$W$1,$D15-1,0),MATCH(N$4,'Adjustment scenario'!$D$10:$W$10,0))-1)*100</f>
        <v>1.6968120000000031</v>
      </c>
      <c r="P15" s="276">
        <f ca="1">(INDEX(OFFSET('Adjustment scenario'!$D$1:$W$1,$D15-1,0),MATCH(P$4,'Adjustment scenario'!$D$10:$W$10,0))/INDEX(OFFSET('Adjustment scenario'!$D$1:$W$1,$D15-1,0),MATCH(O$4,'Adjustment scenario'!$D$10:$W$10,0))-1)*100</f>
        <v>1.627310000000004</v>
      </c>
      <c r="Q15" s="276">
        <f ca="1">(INDEX(OFFSET('Adjustment scenario'!$D$1:$W$1,$D15-1,0),MATCH(Q$4,'Adjustment scenario'!$D$10:$W$10,0))/INDEX(OFFSET('Adjustment scenario'!$D$1:$W$1,$D15-1,0),MATCH(P$4,'Adjustment scenario'!$D$10:$W$10,0))-1)*100</f>
        <v>1.571984000000004</v>
      </c>
      <c r="R15" s="276">
        <f ca="1">(INDEX(OFFSET('Adjustment scenario'!$D$1:$W$1,$D15-1,0),MATCH(R$4,'Adjustment scenario'!$D$10:$W$10,0))/INDEX(OFFSET('Adjustment scenario'!$D$1:$W$1,$D15-1,0),MATCH(Q$4,'Adjustment scenario'!$D$10:$W$10,0))-1)*100</f>
        <v>1.516658999999998</v>
      </c>
      <c r="S15" s="276">
        <f ca="1">(INDEX(OFFSET('Adjustment scenario'!$D$1:$W$1,$D15-1,0),MATCH(S$4,'Adjustment scenario'!$D$10:$W$10,0))/INDEX(OFFSET('Adjustment scenario'!$D$1:$W$1,$D15-1,0),MATCH(R$4,'Adjustment scenario'!$D$10:$W$10,0))-1)*100</f>
        <v>1.461332999999998</v>
      </c>
      <c r="T15" s="276">
        <f ca="1">(INDEX(OFFSET('Adjustment scenario'!$D$1:$W$1,$D15-1,0),MATCH(T$4,'Adjustment scenario'!$D$10:$W$10,0))/INDEX(OFFSET('Adjustment scenario'!$D$1:$W$1,$D15-1,0),MATCH(S$4,'Adjustment scenario'!$D$10:$W$10,0))-1)*100</f>
        <v>1.5350889999999895</v>
      </c>
      <c r="U15" s="276">
        <f ca="1">(INDEX(OFFSET('Adjustment scenario'!$D$1:$W$1,$D15-1,0),MATCH(U$4,'Adjustment scenario'!$D$10:$W$10,0))/INDEX(OFFSET('Adjustment scenario'!$D$1:$W$1,$D15-1,0),MATCH(T$4,'Adjustment scenario'!$D$10:$W$10,0))-1)*100</f>
        <v>1.5643410000000024</v>
      </c>
      <c r="V15" s="276">
        <f ca="1">(INDEX(OFFSET('Adjustment scenario'!$D$1:$W$1,$D15-1,0),MATCH(V$4,'Adjustment scenario'!$D$10:$W$10,0))/INDEX(OFFSET('Adjustment scenario'!$D$1:$W$1,$D15-1,0),MATCH(U$4,'Adjustment scenario'!$D$10:$W$10,0))-1)*100</f>
        <v>1.6238640000000082</v>
      </c>
      <c r="W15" s="276">
        <f ca="1">(INDEX(OFFSET('Adjustment scenario'!$D$1:$W$1,$D15-1,0),MATCH(W$4,'Adjustment scenario'!$D$10:$W$10,0))/INDEX(OFFSET('Adjustment scenario'!$D$1:$W$1,$D15-1,0),MATCH(V$4,'Adjustment scenario'!$D$10:$W$10,0))-1)*100</f>
        <v>1.6757879999999892</v>
      </c>
      <c r="X15" s="276">
        <f ca="1">(INDEX(OFFSET('Adjustment scenario'!$D$1:$W$1,$D15-1,0),MATCH(X$4,'Adjustment scenario'!$D$10:$W$10,0))/INDEX(OFFSET('Adjustment scenario'!$D$1:$W$1,$D15-1,0),MATCH(W$4,'Adjustment scenario'!$D$10:$W$10,0))-1)*100</f>
        <v>1.6641359999999938</v>
      </c>
      <c r="Y15" s="192"/>
    </row>
    <row r="16" spans="1:25" x14ac:dyDescent="0.2">
      <c r="A16" s="192"/>
      <c r="B16" s="283">
        <v>12</v>
      </c>
      <c r="C16" s="279" t="s">
        <v>163</v>
      </c>
      <c r="D16" s="288">
        <v>24</v>
      </c>
      <c r="E16" s="289" t="s">
        <v>162</v>
      </c>
      <c r="F16" s="276">
        <f ca="1">INDEX(OFFSET('Adjustment scenario'!$D$1:$W$1,$D16-1,0),MATCH(F$4,'Adjustment scenario'!$D$10:$W$10,0))</f>
        <v>3.0608719999999998</v>
      </c>
      <c r="G16" s="276">
        <f ca="1">INDEX(OFFSET('Adjustment scenario'!$D$1:$W$1,$D16-1,0),MATCH(G$4,'Adjustment scenario'!$D$10:$W$10,0))</f>
        <v>3.2985890000000002</v>
      </c>
      <c r="H16" s="276">
        <f ca="1">INDEX(OFFSET('Adjustment scenario'!$D$1:$W$1,$D16-1,0),MATCH(H$4,'Adjustment scenario'!$D$10:$W$10,0))</f>
        <v>2.6625109999999896</v>
      </c>
      <c r="I16" s="276">
        <f ca="1">INDEX(OFFSET('Adjustment scenario'!$D$1:$W$1,$D16-1,0),MATCH(I$4,'Adjustment scenario'!$D$10:$W$10,0))</f>
        <v>1.8504575869448869</v>
      </c>
      <c r="J16" s="276">
        <f ca="1">INDEX(OFFSET('Adjustment scenario'!$D$1:$W$1,$D16-1,0),MATCH(J$4,'Adjustment scenario'!$D$10:$W$10,0))</f>
        <v>1.7460880666269718</v>
      </c>
      <c r="K16" s="276">
        <f ca="1">INDEX(OFFSET('Adjustment scenario'!$D$1:$W$1,$D16-1,0),MATCH(K$4,'Adjustment scenario'!$D$10:$W$10,0))</f>
        <v>1.7429154383700185</v>
      </c>
      <c r="L16" s="276">
        <f ca="1">INDEX(OFFSET('Adjustment scenario'!$D$1:$W$1,$D16-1,0),MATCH(L$4,'Adjustment scenario'!$D$10:$W$10,0))</f>
        <v>2.0876617761771854</v>
      </c>
      <c r="M16" s="276">
        <f ca="1">INDEX(OFFSET('Adjustment scenario'!$D$1:$W$1,$D16-1,0),MATCH(M$4,'Adjustment scenario'!$D$10:$W$10,0))</f>
        <v>1.9628223473977968</v>
      </c>
      <c r="N16" s="276">
        <f ca="1">INDEX(OFFSET('Adjustment scenario'!$D$1:$W$1,$D16-1,0),MATCH(N$4,'Adjustment scenario'!$D$10:$W$10,0))</f>
        <v>1.8305474957892143</v>
      </c>
      <c r="O16" s="276">
        <f ca="1">INDEX(OFFSET('Adjustment scenario'!$D$1:$W$1,$D16-1,0),MATCH(O$4,'Adjustment scenario'!$D$10:$W$10,0))</f>
        <v>1.6968169999999949</v>
      </c>
      <c r="P16" s="276">
        <f ca="1">INDEX(OFFSET('Adjustment scenario'!$D$1:$W$1,$D16-1,0),MATCH(P$4,'Adjustment scenario'!$D$10:$W$10,0))</f>
        <v>1.627313000000008</v>
      </c>
      <c r="Q16" s="276">
        <f ca="1">INDEX(OFFSET('Adjustment scenario'!$D$1:$W$1,$D16-1,0),MATCH(Q$4,'Adjustment scenario'!$D$10:$W$10,0))</f>
        <v>1.5719830000000101</v>
      </c>
      <c r="R16" s="276">
        <f ca="1">INDEX(OFFSET('Adjustment scenario'!$D$1:$W$1,$D16-1,0),MATCH(R$4,'Adjustment scenario'!$D$10:$W$10,0))</f>
        <v>1.516662000000002</v>
      </c>
      <c r="S16" s="276">
        <f ca="1">INDEX(OFFSET('Adjustment scenario'!$D$1:$W$1,$D16-1,0),MATCH(S$4,'Adjustment scenario'!$D$10:$W$10,0))</f>
        <v>1.461335000000008</v>
      </c>
      <c r="T16" s="276">
        <f ca="1">INDEX(OFFSET('Adjustment scenario'!$D$1:$W$1,$D16-1,0),MATCH(T$4,'Adjustment scenario'!$D$10:$W$10,0))</f>
        <v>1.5350900000000056</v>
      </c>
      <c r="U16" s="276">
        <f ca="1">INDEX(OFFSET('Adjustment scenario'!$D$1:$W$1,$D16-1,0),MATCH(U$4,'Adjustment scenario'!$D$10:$W$10,0))</f>
        <v>1.5643410000000024</v>
      </c>
      <c r="V16" s="276">
        <f ca="1">INDEX(OFFSET('Adjustment scenario'!$D$1:$W$1,$D16-1,0),MATCH(V$4,'Adjustment scenario'!$D$10:$W$10,0))</f>
        <v>1.6238640000000082</v>
      </c>
      <c r="W16" s="276">
        <f ca="1">INDEX(OFFSET('Adjustment scenario'!$D$1:$W$1,$D16-1,0),MATCH(W$4,'Adjustment scenario'!$D$10:$W$10,0))</f>
        <v>1.6757829999999974</v>
      </c>
      <c r="X16" s="276">
        <f ca="1">INDEX(OFFSET('Adjustment scenario'!$D$1:$W$1,$D16-1,0),MATCH(X$4,'Adjustment scenario'!$D$10:$W$10,0))</f>
        <v>1.6641359999999938</v>
      </c>
      <c r="Y16" s="192"/>
    </row>
    <row r="17" spans="1:25" x14ac:dyDescent="0.2">
      <c r="A17" s="192"/>
      <c r="B17" s="283">
        <v>13</v>
      </c>
      <c r="C17" s="292" t="s">
        <v>164</v>
      </c>
      <c r="D17" s="288">
        <v>42</v>
      </c>
      <c r="E17" s="289" t="s">
        <v>162</v>
      </c>
      <c r="F17" s="276">
        <f ca="1">INDEX(OFFSET('Adjustment scenario'!$D$1:$W$1,$D17-1,0),MATCH(F$4,'Adjustment scenario'!$D$10:$W$10,0))</f>
        <v>8.5226670000000002</v>
      </c>
      <c r="G17" s="276">
        <f ca="1">INDEX(OFFSET('Adjustment scenario'!$D$1:$W$1,$D17-1,0),MATCH(G$4,'Adjustment scenario'!$D$10:$W$10,0))</f>
        <v>5.5288409999999999</v>
      </c>
      <c r="H17" s="276">
        <f ca="1">INDEX(OFFSET('Adjustment scenario'!$D$1:$W$1,$D17-1,0),MATCH(H$4,'Adjustment scenario'!$D$10:$W$10,0))</f>
        <v>2.1515659999999999</v>
      </c>
      <c r="I17" s="276">
        <f ca="1">INDEX(OFFSET('Adjustment scenario'!$D$1:$W$1,$D17-1,0),MATCH(I$4,'Adjustment scenario'!$D$10:$W$10,0))</f>
        <v>2.2013702500000001</v>
      </c>
      <c r="J17" s="276">
        <f ca="1">INDEX(OFFSET('Adjustment scenario'!$D$1:$W$1,$D17-1,0),MATCH(J$4,'Adjustment scenario'!$D$10:$W$10,0))</f>
        <v>2.2511744999999999</v>
      </c>
      <c r="K17" s="276">
        <f ca="1">INDEX(OFFSET('Adjustment scenario'!$D$1:$W$1,$D17-1,0),MATCH(K$4,'Adjustment scenario'!$D$10:$W$10,0))</f>
        <v>2.3009787499999996</v>
      </c>
      <c r="L17" s="276">
        <f ca="1">INDEX(OFFSET('Adjustment scenario'!$D$1:$W$1,$D17-1,0),MATCH(L$4,'Adjustment scenario'!$D$10:$W$10,0))</f>
        <v>2.3507829999999998</v>
      </c>
      <c r="M17" s="276">
        <f ca="1">INDEX(OFFSET('Adjustment scenario'!$D$1:$W$1,$D17-1,0),MATCH(M$4,'Adjustment scenario'!$D$10:$W$10,0))</f>
        <v>2.4005872500000001</v>
      </c>
      <c r="N17" s="276">
        <f ca="1">INDEX(OFFSET('Adjustment scenario'!$D$1:$W$1,$D17-1,0),MATCH(N$4,'Adjustment scenario'!$D$10:$W$10,0))</f>
        <v>2.4503914999999998</v>
      </c>
      <c r="O17" s="276">
        <f ca="1">INDEX(OFFSET('Adjustment scenario'!$D$1:$W$1,$D17-1,0),MATCH(O$4,'Adjustment scenario'!$D$10:$W$10,0))</f>
        <v>2.5001957499999996</v>
      </c>
      <c r="P17" s="276">
        <f ca="1">INDEX(OFFSET('Adjustment scenario'!$D$1:$W$1,$D17-1,0),MATCH(P$4,'Adjustment scenario'!$D$10:$W$10,0))</f>
        <v>2.5499999999999998</v>
      </c>
      <c r="Q17" s="276">
        <f ca="1">INDEX(OFFSET('Adjustment scenario'!$D$1:$W$1,$D17-1,0),MATCH(Q$4,'Adjustment scenario'!$D$10:$W$10,0))</f>
        <v>2.5225</v>
      </c>
      <c r="R17" s="276">
        <f ca="1">INDEX(OFFSET('Adjustment scenario'!$D$1:$W$1,$D17-1,0),MATCH(R$4,'Adjustment scenario'!$D$10:$W$10,0))</f>
        <v>2.4949999999999997</v>
      </c>
      <c r="S17" s="276">
        <f ca="1">INDEX(OFFSET('Adjustment scenario'!$D$1:$W$1,$D17-1,0),MATCH(S$4,'Adjustment scenario'!$D$10:$W$10,0))</f>
        <v>2.4674999999999998</v>
      </c>
      <c r="T17" s="276">
        <f ca="1">INDEX(OFFSET('Adjustment scenario'!$D$1:$W$1,$D17-1,0),MATCH(T$4,'Adjustment scenario'!$D$10:$W$10,0))</f>
        <v>2.44</v>
      </c>
      <c r="U17" s="276">
        <f ca="1">INDEX(OFFSET('Adjustment scenario'!$D$1:$W$1,$D17-1,0),MATCH(U$4,'Adjustment scenario'!$D$10:$W$10,0))</f>
        <v>2.4124999999999996</v>
      </c>
      <c r="V17" s="276">
        <f ca="1">INDEX(OFFSET('Adjustment scenario'!$D$1:$W$1,$D17-1,0),MATCH(V$4,'Adjustment scenario'!$D$10:$W$10,0))</f>
        <v>2.3849999999999998</v>
      </c>
      <c r="W17" s="276">
        <f ca="1">INDEX(OFFSET('Adjustment scenario'!$D$1:$W$1,$D17-1,0),MATCH(W$4,'Adjustment scenario'!$D$10:$W$10,0))</f>
        <v>2.3574999999999999</v>
      </c>
      <c r="X17" s="276">
        <f ca="1">INDEX(OFFSET('Adjustment scenario'!$D$1:$W$1,$D17-1,0),MATCH(X$4,'Adjustment scenario'!$D$10:$W$10,0))</f>
        <v>2.33</v>
      </c>
      <c r="Y17" s="192"/>
    </row>
    <row r="18" spans="1:25" x14ac:dyDescent="0.2">
      <c r="A18" s="192"/>
      <c r="B18" s="283">
        <v>14</v>
      </c>
      <c r="C18" s="279" t="s">
        <v>165</v>
      </c>
      <c r="D18" s="288">
        <v>33</v>
      </c>
      <c r="E18" s="289" t="s">
        <v>162</v>
      </c>
      <c r="F18" s="276">
        <f ca="1">INDEX(OFFSET('Adjustment scenario'!$D$1:$W$1,$D18-1,0),MATCH(F$4,'Adjustment scenario'!$D$10:$W$10,0))</f>
        <v>11.844406927856244</v>
      </c>
      <c r="G18" s="276">
        <f ca="1">INDEX(OFFSET('Adjustment scenario'!$D$1:$W$1,$D18-1,0),MATCH(G$4,'Adjustment scenario'!$D$10:$W$10,0))</f>
        <v>9.0098037410534904</v>
      </c>
      <c r="H18" s="276">
        <f ca="1">INDEX(OFFSET('Adjustment scenario'!$D$1:$W$1,$D18-1,0),MATCH(H$4,'Adjustment scenario'!$D$10:$W$10,0))</f>
        <v>4.8713626814222533</v>
      </c>
      <c r="I18" s="276">
        <f ca="1">INDEX(OFFSET('Adjustment scenario'!$D$1:$W$1,$D18-1,0),MATCH(I$4,'Adjustment scenario'!$D$10:$W$10,0))</f>
        <v>4.0925632597527573</v>
      </c>
      <c r="J18" s="276">
        <f ca="1">INDEX(OFFSET('Adjustment scenario'!$D$1:$W$1,$D18-1,0),MATCH(J$4,'Adjustment scenario'!$D$10:$W$10,0))</f>
        <v>4.0365700559304329</v>
      </c>
      <c r="K18" s="276">
        <f ca="1">INDEX(OFFSET('Adjustment scenario'!$D$1:$W$1,$D18-1,0),MATCH(K$4,'Adjustment scenario'!$D$10:$W$10,0))</f>
        <v>4.0839983022373794</v>
      </c>
      <c r="L18" s="276">
        <f ca="1">INDEX(OFFSET('Adjustment scenario'!$D$1:$W$1,$D18-1,0),MATCH(L$4,'Adjustment scenario'!$D$10:$W$10,0))</f>
        <v>4.4875211743090615</v>
      </c>
      <c r="M18" s="276">
        <f ca="1">INDEX(OFFSET('Adjustment scenario'!$D$1:$W$1,$D18-1,0),MATCH(M$4,'Adjustment scenario'!$D$10:$W$10,0))</f>
        <v>4.4105288604095794</v>
      </c>
      <c r="N18" s="276">
        <f ca="1">INDEX(OFFSET('Adjustment scenario'!$D$1:$W$1,$D18-1,0),MATCH(N$4,'Adjustment scenario'!$D$10:$W$10,0))</f>
        <v>4.3257945760294847</v>
      </c>
      <c r="O18" s="276">
        <f ca="1">INDEX(OFFSET('Adjustment scenario'!$D$1:$W$1,$D18-1,0),MATCH(O$4,'Adjustment scenario'!$D$10:$W$10,0))</f>
        <v>4.2394364965192777</v>
      </c>
      <c r="P18" s="276">
        <f ca="1">INDEX(OFFSET('Adjustment scenario'!$D$1:$W$1,$D18-1,0),MATCH(P$4,'Adjustment scenario'!$D$10:$W$10,0))</f>
        <v>4.2188094815000188</v>
      </c>
      <c r="Q18" s="276">
        <f ca="1">INDEX(OFFSET('Adjustment scenario'!$D$1:$W$1,$D18-1,0),MATCH(Q$4,'Adjustment scenario'!$D$10:$W$10,0))</f>
        <v>4.1341362711750262</v>
      </c>
      <c r="R18" s="276">
        <f ca="1">INDEX(OFFSET('Adjustment scenario'!$D$1:$W$1,$D18-1,0),MATCH(R$4,'Adjustment scenario'!$D$10:$W$10,0))</f>
        <v>4.0495027169000108</v>
      </c>
      <c r="S18" s="276">
        <f ca="1">INDEX(OFFSET('Adjustment scenario'!$D$1:$W$1,$D18-1,0),MATCH(S$4,'Adjustment scenario'!$D$10:$W$10,0))</f>
        <v>3.9648934411250059</v>
      </c>
      <c r="T18" s="276">
        <f ca="1">INDEX(OFFSET('Adjustment scenario'!$D$1:$W$1,$D18-1,0),MATCH(T$4,'Adjustment scenario'!$D$10:$W$10,0))</f>
        <v>4.0125461959999997</v>
      </c>
      <c r="U18" s="276">
        <f ca="1">INDEX(OFFSET('Adjustment scenario'!$D$1:$W$1,$D18-1,0),MATCH(U$4,'Adjustment scenario'!$D$10:$W$10,0))</f>
        <v>4.0145807266249944</v>
      </c>
      <c r="V18" s="276">
        <f ca="1">INDEX(OFFSET('Adjustment scenario'!$D$1:$W$1,$D18-1,0),MATCH(V$4,'Adjustment scenario'!$D$10:$W$10,0))</f>
        <v>4.0475931563999978</v>
      </c>
      <c r="W18" s="276">
        <f ca="1">INDEX(OFFSET('Adjustment scenario'!$D$1:$W$1,$D18-1,0),MATCH(W$4,'Adjustment scenario'!$D$10:$W$10,0))</f>
        <v>4.0727895842249895</v>
      </c>
      <c r="X18" s="276">
        <f ca="1">INDEX(OFFSET('Adjustment scenario'!$D$1:$W$1,$D18-1,0),MATCH(X$4,'Adjustment scenario'!$D$10:$W$10,0))</f>
        <v>4.0329103688000023</v>
      </c>
      <c r="Y18" s="192"/>
    </row>
    <row r="19" spans="1:25" x14ac:dyDescent="0.2">
      <c r="A19" s="192"/>
      <c r="B19" s="277"/>
      <c r="C19" s="298"/>
      <c r="D19" s="298"/>
      <c r="E19" s="298"/>
      <c r="F19" s="298"/>
      <c r="G19" s="298"/>
      <c r="H19" s="298"/>
      <c r="I19" s="298"/>
      <c r="J19" s="298"/>
      <c r="K19" s="192"/>
      <c r="L19" s="192"/>
      <c r="M19" s="192"/>
      <c r="N19" s="192"/>
      <c r="O19" s="192"/>
      <c r="P19" s="192"/>
      <c r="Q19" s="192"/>
      <c r="R19" s="192"/>
      <c r="S19" s="192"/>
      <c r="T19" s="192"/>
      <c r="U19" s="192"/>
      <c r="V19" s="192"/>
      <c r="W19" s="192"/>
      <c r="X19" s="192"/>
      <c r="Y19" s="192"/>
    </row>
    <row r="20" spans="1:25" x14ac:dyDescent="0.2">
      <c r="A20" s="192"/>
      <c r="B20" s="299"/>
      <c r="C20" s="281" t="s">
        <v>166</v>
      </c>
      <c r="D20" s="282"/>
      <c r="E20" s="282"/>
      <c r="F20" s="282"/>
      <c r="G20" s="298"/>
      <c r="H20" s="298"/>
      <c r="I20" s="298"/>
      <c r="J20" s="298"/>
      <c r="K20" s="192"/>
      <c r="L20" s="192"/>
      <c r="M20" s="192"/>
      <c r="N20" s="192"/>
      <c r="O20" s="192"/>
      <c r="P20" s="192"/>
      <c r="Q20" s="192"/>
      <c r="R20" s="192"/>
      <c r="S20" s="192"/>
      <c r="T20" s="192"/>
      <c r="U20" s="192"/>
      <c r="V20" s="192"/>
      <c r="W20" s="192"/>
      <c r="X20" s="192"/>
      <c r="Y20" s="192"/>
    </row>
    <row r="21" spans="1:25" x14ac:dyDescent="0.2">
      <c r="A21" s="192"/>
      <c r="B21" s="277"/>
      <c r="C21" s="298"/>
      <c r="D21" s="298"/>
      <c r="E21" s="298"/>
      <c r="F21" s="298"/>
      <c r="G21" s="298"/>
      <c r="H21" s="298"/>
      <c r="I21" s="298"/>
      <c r="J21" s="298"/>
      <c r="K21" s="192"/>
      <c r="L21" s="192"/>
      <c r="M21" s="192"/>
      <c r="N21" s="192"/>
      <c r="O21" s="192"/>
      <c r="P21" s="192"/>
      <c r="Q21" s="192"/>
      <c r="R21" s="192"/>
      <c r="S21" s="192"/>
      <c r="T21" s="192"/>
      <c r="U21" s="192"/>
      <c r="V21" s="192"/>
      <c r="W21" s="192"/>
      <c r="X21" s="192"/>
      <c r="Y21" s="192"/>
    </row>
    <row r="22" spans="1:25" x14ac:dyDescent="0.2">
      <c r="A22" s="192"/>
      <c r="B22" s="283"/>
      <c r="C22" s="281" t="s">
        <v>12</v>
      </c>
      <c r="D22" s="281"/>
      <c r="E22" s="285">
        <f>F22-1</f>
        <v>-1</v>
      </c>
      <c r="F22" s="286"/>
      <c r="G22" s="286"/>
      <c r="H22" s="286"/>
      <c r="I22" s="286"/>
      <c r="J22" s="286"/>
      <c r="K22" s="286"/>
      <c r="L22" s="286"/>
      <c r="M22" s="286"/>
      <c r="N22" s="286"/>
      <c r="O22" s="286"/>
      <c r="P22" s="286"/>
      <c r="Q22" s="286"/>
      <c r="R22" s="286"/>
      <c r="S22" s="286"/>
      <c r="T22" s="286"/>
      <c r="U22" s="286"/>
      <c r="V22" s="286"/>
      <c r="W22" s="286"/>
      <c r="X22" s="286"/>
      <c r="Y22" s="192"/>
    </row>
    <row r="23" spans="1:25" x14ac:dyDescent="0.2">
      <c r="A23" s="192"/>
      <c r="B23" s="283">
        <v>1</v>
      </c>
      <c r="C23" s="287" t="s">
        <v>152</v>
      </c>
      <c r="D23" s="288">
        <v>56</v>
      </c>
      <c r="E23" s="289" t="s">
        <v>153</v>
      </c>
      <c r="F23" s="276"/>
      <c r="G23" s="276"/>
      <c r="H23" s="276"/>
      <c r="I23" s="276"/>
      <c r="J23" s="276"/>
      <c r="K23" s="276"/>
      <c r="L23" s="276"/>
      <c r="M23" s="276"/>
      <c r="N23" s="276"/>
      <c r="O23" s="276"/>
      <c r="P23" s="276"/>
      <c r="Q23" s="276"/>
      <c r="R23" s="276"/>
      <c r="S23" s="276"/>
      <c r="T23" s="276"/>
      <c r="U23" s="276"/>
      <c r="V23" s="276"/>
      <c r="W23" s="276"/>
      <c r="X23" s="276"/>
      <c r="Y23" s="192"/>
    </row>
    <row r="24" spans="1:25" x14ac:dyDescent="0.2">
      <c r="A24" s="192"/>
      <c r="B24" s="283">
        <v>2</v>
      </c>
      <c r="C24" s="287" t="s">
        <v>66</v>
      </c>
      <c r="D24" s="288">
        <v>36</v>
      </c>
      <c r="E24" s="289" t="s">
        <v>159</v>
      </c>
      <c r="F24" s="276"/>
      <c r="G24" s="276"/>
      <c r="H24" s="276"/>
      <c r="I24" s="276"/>
      <c r="J24" s="276"/>
      <c r="K24" s="276"/>
      <c r="L24" s="276"/>
      <c r="M24" s="276"/>
      <c r="N24" s="276"/>
      <c r="O24" s="276"/>
      <c r="P24" s="276"/>
      <c r="Q24" s="276"/>
      <c r="R24" s="276"/>
      <c r="S24" s="276"/>
      <c r="T24" s="276"/>
      <c r="U24" s="276"/>
      <c r="V24" s="276"/>
      <c r="W24" s="276"/>
      <c r="X24" s="276"/>
      <c r="Y24" s="192"/>
    </row>
    <row r="25" spans="1:25" x14ac:dyDescent="0.2">
      <c r="A25" s="192"/>
      <c r="B25" s="283">
        <v>3</v>
      </c>
      <c r="C25" s="287" t="s">
        <v>67</v>
      </c>
      <c r="D25" s="288">
        <v>37</v>
      </c>
      <c r="E25" s="289" t="s">
        <v>159</v>
      </c>
      <c r="F25" s="276"/>
      <c r="G25" s="276"/>
      <c r="H25" s="276"/>
      <c r="I25" s="276"/>
      <c r="J25" s="276"/>
      <c r="K25" s="276"/>
      <c r="L25" s="276"/>
      <c r="M25" s="276"/>
      <c r="N25" s="276"/>
      <c r="O25" s="276"/>
      <c r="P25" s="276"/>
      <c r="Q25" s="276"/>
      <c r="R25" s="276"/>
      <c r="S25" s="276"/>
      <c r="T25" s="276"/>
      <c r="U25" s="276"/>
      <c r="V25" s="276"/>
      <c r="W25" s="276"/>
      <c r="X25" s="276"/>
      <c r="Y25" s="192"/>
    </row>
    <row r="26" spans="1:25" x14ac:dyDescent="0.2">
      <c r="A26" s="192"/>
      <c r="B26" s="283"/>
      <c r="C26" s="281" t="s">
        <v>13</v>
      </c>
      <c r="D26" s="281"/>
      <c r="E26" s="285">
        <f>F26-1</f>
        <v>-1</v>
      </c>
      <c r="F26" s="286"/>
      <c r="G26" s="286"/>
      <c r="H26" s="286"/>
      <c r="I26" s="286"/>
      <c r="J26" s="286"/>
      <c r="K26" s="286"/>
      <c r="L26" s="286"/>
      <c r="M26" s="286"/>
      <c r="N26" s="286"/>
      <c r="O26" s="286"/>
      <c r="P26" s="286"/>
      <c r="Q26" s="286"/>
      <c r="R26" s="286"/>
      <c r="S26" s="286"/>
      <c r="T26" s="286"/>
      <c r="U26" s="286"/>
      <c r="V26" s="286"/>
      <c r="W26" s="286"/>
      <c r="X26" s="286"/>
      <c r="Y26" s="192"/>
    </row>
    <row r="27" spans="1:25" x14ac:dyDescent="0.2">
      <c r="A27" s="192"/>
      <c r="B27" s="283">
        <v>4</v>
      </c>
      <c r="C27" s="287" t="s">
        <v>152</v>
      </c>
      <c r="D27" s="288">
        <v>56</v>
      </c>
      <c r="E27" s="289" t="s">
        <v>153</v>
      </c>
      <c r="F27" s="276"/>
      <c r="G27" s="276"/>
      <c r="H27" s="276"/>
      <c r="I27" s="276"/>
      <c r="J27" s="276"/>
      <c r="K27" s="276"/>
      <c r="L27" s="276"/>
      <c r="M27" s="276"/>
      <c r="N27" s="276"/>
      <c r="O27" s="276"/>
      <c r="P27" s="276"/>
      <c r="Q27" s="276"/>
      <c r="R27" s="276"/>
      <c r="S27" s="276"/>
      <c r="T27" s="276"/>
      <c r="U27" s="276"/>
      <c r="V27" s="276"/>
      <c r="W27" s="276"/>
      <c r="X27" s="276"/>
      <c r="Y27" s="192"/>
    </row>
    <row r="28" spans="1:25" x14ac:dyDescent="0.2">
      <c r="A28" s="192"/>
      <c r="B28" s="283">
        <v>5</v>
      </c>
      <c r="C28" s="287" t="s">
        <v>18</v>
      </c>
      <c r="D28" s="288">
        <v>12</v>
      </c>
      <c r="E28" s="289" t="s">
        <v>155</v>
      </c>
      <c r="F28" s="276"/>
      <c r="G28" s="276"/>
      <c r="H28" s="276"/>
      <c r="I28" s="276"/>
      <c r="J28" s="276"/>
      <c r="K28" s="276"/>
      <c r="L28" s="276"/>
      <c r="M28" s="276"/>
      <c r="N28" s="276"/>
      <c r="O28" s="276"/>
      <c r="P28" s="276"/>
      <c r="Q28" s="276"/>
      <c r="R28" s="276"/>
      <c r="S28" s="276"/>
      <c r="T28" s="276"/>
      <c r="U28" s="276"/>
      <c r="V28" s="276"/>
      <c r="W28" s="276"/>
      <c r="X28" s="276"/>
      <c r="Y28" s="192"/>
    </row>
    <row r="29" spans="1:25" x14ac:dyDescent="0.2">
      <c r="A29" s="192"/>
      <c r="B29" s="283"/>
      <c r="C29" s="281" t="s">
        <v>167</v>
      </c>
      <c r="D29" s="281"/>
      <c r="E29" s="285">
        <f>F29-1</f>
        <v>-1</v>
      </c>
      <c r="F29" s="286"/>
      <c r="G29" s="286"/>
      <c r="H29" s="286"/>
      <c r="I29" s="286"/>
      <c r="J29" s="286"/>
      <c r="K29" s="286"/>
      <c r="L29" s="286"/>
      <c r="M29" s="286"/>
      <c r="N29" s="286"/>
      <c r="O29" s="286"/>
      <c r="P29" s="286"/>
      <c r="Q29" s="286"/>
      <c r="R29" s="286"/>
      <c r="S29" s="286"/>
      <c r="T29" s="286"/>
      <c r="U29" s="286"/>
      <c r="V29" s="286"/>
      <c r="W29" s="286"/>
      <c r="X29" s="286"/>
      <c r="Y29" s="192"/>
    </row>
    <row r="30" spans="1:25" x14ac:dyDescent="0.2">
      <c r="A30" s="192"/>
      <c r="B30" s="283">
        <v>6</v>
      </c>
      <c r="C30" s="287" t="s">
        <v>152</v>
      </c>
      <c r="D30" s="288">
        <v>57</v>
      </c>
      <c r="E30" s="289" t="s">
        <v>153</v>
      </c>
      <c r="F30" s="276"/>
      <c r="G30" s="276"/>
      <c r="H30" s="276"/>
      <c r="I30" s="276"/>
      <c r="J30" s="276"/>
      <c r="K30" s="276"/>
      <c r="L30" s="276"/>
      <c r="M30" s="276"/>
      <c r="N30" s="276"/>
      <c r="O30" s="276"/>
      <c r="P30" s="276"/>
      <c r="Q30" s="276"/>
      <c r="R30" s="276"/>
      <c r="S30" s="276"/>
      <c r="T30" s="276"/>
      <c r="U30" s="276"/>
      <c r="V30" s="276"/>
      <c r="W30" s="276"/>
      <c r="X30" s="276"/>
      <c r="Y30" s="192"/>
    </row>
    <row r="31" spans="1:25" x14ac:dyDescent="0.2">
      <c r="A31" s="192"/>
      <c r="B31" s="283">
        <v>7</v>
      </c>
      <c r="C31" s="287" t="s">
        <v>66</v>
      </c>
      <c r="D31" s="288">
        <v>37</v>
      </c>
      <c r="E31" s="289" t="s">
        <v>159</v>
      </c>
      <c r="F31" s="276"/>
      <c r="G31" s="276"/>
      <c r="H31" s="276"/>
      <c r="I31" s="276"/>
      <c r="J31" s="276"/>
      <c r="K31" s="276"/>
      <c r="L31" s="276"/>
      <c r="M31" s="276"/>
      <c r="N31" s="276"/>
      <c r="O31" s="276"/>
      <c r="P31" s="276"/>
      <c r="Q31" s="276"/>
      <c r="R31" s="276"/>
      <c r="S31" s="276"/>
      <c r="T31" s="276"/>
      <c r="U31" s="276"/>
      <c r="V31" s="276"/>
      <c r="W31" s="276"/>
      <c r="X31" s="276"/>
      <c r="Y31" s="192"/>
    </row>
    <row r="32" spans="1:25" x14ac:dyDescent="0.2">
      <c r="A32" s="192"/>
      <c r="B32" s="283">
        <v>8</v>
      </c>
      <c r="C32" s="287" t="s">
        <v>67</v>
      </c>
      <c r="D32" s="288">
        <v>38</v>
      </c>
      <c r="E32" s="289" t="s">
        <v>159</v>
      </c>
      <c r="F32" s="276"/>
      <c r="G32" s="276"/>
      <c r="H32" s="276"/>
      <c r="I32" s="276"/>
      <c r="J32" s="276"/>
      <c r="K32" s="276"/>
      <c r="L32" s="276"/>
      <c r="M32" s="276"/>
      <c r="N32" s="276"/>
      <c r="O32" s="276"/>
      <c r="P32" s="276"/>
      <c r="Q32" s="276"/>
      <c r="R32" s="276"/>
      <c r="S32" s="276"/>
      <c r="T32" s="276"/>
      <c r="U32" s="276"/>
      <c r="V32" s="276"/>
      <c r="W32" s="276"/>
      <c r="X32" s="276"/>
      <c r="Y32" s="192"/>
    </row>
    <row r="33" spans="1:25" x14ac:dyDescent="0.2">
      <c r="A33" s="192"/>
      <c r="B33" s="283">
        <v>9</v>
      </c>
      <c r="C33" s="279" t="s">
        <v>163</v>
      </c>
      <c r="D33" s="288">
        <v>23</v>
      </c>
      <c r="E33" s="289" t="s">
        <v>162</v>
      </c>
      <c r="F33" s="276"/>
      <c r="G33" s="276"/>
      <c r="H33" s="276"/>
      <c r="I33" s="276"/>
      <c r="J33" s="276"/>
      <c r="K33" s="276"/>
      <c r="L33" s="276"/>
      <c r="M33" s="276"/>
      <c r="N33" s="276"/>
      <c r="O33" s="276"/>
      <c r="P33" s="276"/>
      <c r="Q33" s="276"/>
      <c r="R33" s="276"/>
      <c r="S33" s="276"/>
      <c r="T33" s="276"/>
      <c r="U33" s="276"/>
      <c r="V33" s="276"/>
      <c r="W33" s="276"/>
      <c r="X33" s="276"/>
      <c r="Y33" s="192"/>
    </row>
    <row r="34" spans="1:25" x14ac:dyDescent="0.2">
      <c r="A34" s="192"/>
      <c r="B34" s="283">
        <v>10</v>
      </c>
      <c r="C34" s="291" t="s">
        <v>40</v>
      </c>
      <c r="D34" s="288">
        <v>27</v>
      </c>
      <c r="E34" s="289" t="s">
        <v>162</v>
      </c>
      <c r="F34" s="276"/>
      <c r="G34" s="276"/>
      <c r="H34" s="276"/>
      <c r="I34" s="276"/>
      <c r="J34" s="276"/>
      <c r="K34" s="276"/>
      <c r="L34" s="276"/>
      <c r="M34" s="276"/>
      <c r="N34" s="276"/>
      <c r="O34" s="276"/>
      <c r="P34" s="276"/>
      <c r="Q34" s="276"/>
      <c r="R34" s="276"/>
      <c r="S34" s="276"/>
      <c r="T34" s="276"/>
      <c r="U34" s="276"/>
      <c r="V34" s="276"/>
      <c r="W34" s="276"/>
      <c r="X34" s="276"/>
      <c r="Y34" s="192"/>
    </row>
    <row r="35" spans="1:25" x14ac:dyDescent="0.2">
      <c r="A35" s="192"/>
      <c r="B35" s="283"/>
      <c r="C35" s="281" t="s">
        <v>168</v>
      </c>
      <c r="D35" s="281"/>
      <c r="E35" s="285">
        <f>F35-1</f>
        <v>-1</v>
      </c>
      <c r="F35" s="294"/>
      <c r="G35" s="192"/>
      <c r="H35" s="192"/>
      <c r="I35" s="192"/>
      <c r="J35" s="192"/>
      <c r="K35" s="192"/>
      <c r="L35" s="192"/>
      <c r="M35" s="192"/>
      <c r="N35" s="192"/>
      <c r="O35" s="192"/>
      <c r="P35" s="192"/>
      <c r="Q35" s="192"/>
      <c r="R35" s="192"/>
      <c r="S35" s="192"/>
      <c r="T35" s="192"/>
      <c r="U35" s="192"/>
      <c r="V35" s="192"/>
      <c r="W35" s="192"/>
      <c r="X35" s="192"/>
      <c r="Y35" s="192"/>
    </row>
    <row r="36" spans="1:25" x14ac:dyDescent="0.2">
      <c r="A36" s="192"/>
      <c r="B36" s="283">
        <v>11</v>
      </c>
      <c r="C36" s="287" t="s">
        <v>169</v>
      </c>
      <c r="D36" s="300" t="s">
        <v>173</v>
      </c>
      <c r="E36" s="289" t="s">
        <v>159</v>
      </c>
      <c r="F36" s="276"/>
      <c r="G36" s="307"/>
      <c r="H36" s="296"/>
      <c r="I36" s="297"/>
      <c r="J36" s="297"/>
      <c r="K36" s="296"/>
      <c r="L36" s="297"/>
      <c r="M36" s="296"/>
      <c r="N36" s="296"/>
      <c r="O36" s="297"/>
      <c r="P36" s="297"/>
      <c r="Q36" s="296"/>
      <c r="R36" s="297"/>
      <c r="S36" s="296"/>
      <c r="T36" s="301"/>
      <c r="U36" s="87"/>
      <c r="V36" s="308"/>
      <c r="W36" s="309"/>
      <c r="X36" s="308"/>
      <c r="Y36" s="87"/>
    </row>
    <row r="37" spans="1:25" x14ac:dyDescent="0.2">
      <c r="A37" s="192"/>
      <c r="B37" s="277"/>
      <c r="C37" s="298"/>
      <c r="D37" s="298"/>
      <c r="E37" s="298"/>
      <c r="F37" s="298"/>
      <c r="G37" s="298"/>
      <c r="H37" s="298"/>
      <c r="I37" s="298"/>
      <c r="J37" s="298"/>
      <c r="K37" s="192"/>
      <c r="L37" s="192"/>
      <c r="M37" s="192"/>
      <c r="N37" s="192"/>
      <c r="O37" s="192"/>
      <c r="P37" s="192"/>
      <c r="Q37" s="307"/>
      <c r="R37" s="307"/>
      <c r="S37" s="307"/>
      <c r="T37" s="307"/>
      <c r="U37" s="307"/>
      <c r="V37" s="307"/>
      <c r="W37" s="192"/>
      <c r="X37" s="192"/>
      <c r="Y37" s="192"/>
    </row>
    <row r="38" spans="1:25" x14ac:dyDescent="0.2">
      <c r="A38" s="192"/>
      <c r="B38" s="299"/>
      <c r="C38" s="281" t="s">
        <v>170</v>
      </c>
      <c r="D38" s="282"/>
      <c r="E38" s="282"/>
      <c r="F38" s="293"/>
      <c r="G38" s="192"/>
      <c r="H38" s="192"/>
      <c r="I38" s="192"/>
      <c r="J38" s="192"/>
      <c r="K38" s="192"/>
      <c r="L38" s="192"/>
      <c r="M38" s="192"/>
      <c r="N38" s="192"/>
      <c r="O38" s="192"/>
      <c r="P38" s="192"/>
      <c r="Q38" s="192"/>
      <c r="R38" s="192"/>
      <c r="S38" s="192"/>
      <c r="T38" s="192"/>
      <c r="U38" s="192"/>
      <c r="V38" s="192"/>
      <c r="W38" s="192"/>
      <c r="X38" s="192"/>
      <c r="Y38" s="192"/>
    </row>
    <row r="39" spans="1:25" x14ac:dyDescent="0.2">
      <c r="A39" s="192"/>
      <c r="B39" s="277"/>
      <c r="C39" s="298"/>
      <c r="D39" s="298"/>
      <c r="E39" s="298"/>
      <c r="F39" s="298"/>
      <c r="G39" s="298"/>
      <c r="H39" s="298"/>
      <c r="I39" s="298"/>
      <c r="J39" s="298"/>
      <c r="K39" s="192"/>
      <c r="L39" s="192"/>
      <c r="M39" s="192"/>
      <c r="N39" s="192"/>
      <c r="O39" s="192"/>
      <c r="P39" s="192"/>
      <c r="Q39" s="192"/>
      <c r="R39" s="192"/>
      <c r="S39" s="192"/>
      <c r="T39" s="192"/>
      <c r="U39" s="192"/>
      <c r="V39" s="192"/>
      <c r="W39" s="192"/>
      <c r="X39" s="192"/>
      <c r="Y39" s="192"/>
    </row>
    <row r="40" spans="1:25" x14ac:dyDescent="0.2">
      <c r="A40" s="192"/>
      <c r="B40" s="283"/>
      <c r="C40" s="281"/>
      <c r="D40" s="281"/>
      <c r="E40" s="286"/>
      <c r="F40" s="286">
        <f>'Input data'!$C$5-1</f>
        <v>2023</v>
      </c>
      <c r="G40" s="286">
        <f>F40+1</f>
        <v>2024</v>
      </c>
      <c r="H40" s="286">
        <f t="shared" ref="H40:X40" si="1">G40+1</f>
        <v>2025</v>
      </c>
      <c r="I40" s="286">
        <f t="shared" si="1"/>
        <v>2026</v>
      </c>
      <c r="J40" s="286">
        <f t="shared" si="1"/>
        <v>2027</v>
      </c>
      <c r="K40" s="286">
        <f t="shared" si="1"/>
        <v>2028</v>
      </c>
      <c r="L40" s="286">
        <f t="shared" si="1"/>
        <v>2029</v>
      </c>
      <c r="M40" s="286">
        <f t="shared" si="1"/>
        <v>2030</v>
      </c>
      <c r="N40" s="286">
        <f t="shared" si="1"/>
        <v>2031</v>
      </c>
      <c r="O40" s="286">
        <f t="shared" si="1"/>
        <v>2032</v>
      </c>
      <c r="P40" s="286">
        <f t="shared" si="1"/>
        <v>2033</v>
      </c>
      <c r="Q40" s="286">
        <f t="shared" si="1"/>
        <v>2034</v>
      </c>
      <c r="R40" s="286">
        <f t="shared" si="1"/>
        <v>2035</v>
      </c>
      <c r="S40" s="286">
        <f t="shared" si="1"/>
        <v>2036</v>
      </c>
      <c r="T40" s="286">
        <f t="shared" si="1"/>
        <v>2037</v>
      </c>
      <c r="U40" s="286">
        <f t="shared" si="1"/>
        <v>2038</v>
      </c>
      <c r="V40" s="286">
        <f t="shared" si="1"/>
        <v>2039</v>
      </c>
      <c r="W40" s="286">
        <f t="shared" si="1"/>
        <v>2040</v>
      </c>
      <c r="X40" s="286">
        <f t="shared" si="1"/>
        <v>2041</v>
      </c>
      <c r="Y40" s="192"/>
    </row>
    <row r="41" spans="1:25" x14ac:dyDescent="0.2">
      <c r="A41" s="192"/>
      <c r="B41" s="283">
        <v>1</v>
      </c>
      <c r="C41" s="287" t="s">
        <v>152</v>
      </c>
      <c r="D41" s="288">
        <v>56</v>
      </c>
      <c r="E41" s="289" t="s">
        <v>153</v>
      </c>
      <c r="F41" s="276">
        <f ca="1">INDEX(OFFSET('Baseline NFPC'!$D$1:$W$1,$D41-1,0),MATCH(F$4,'Baseline NFPC'!$D$10:$W$10,0))</f>
        <v>63.018538203782732</v>
      </c>
      <c r="G41" s="276">
        <f ca="1">INDEX(OFFSET('Baseline NFPC'!$D$1:$W$1,$D41-1,0),MATCH(G$4,'Baseline NFPC'!$D$10:$W$10,0))</f>
        <v>59.525230422292623</v>
      </c>
      <c r="H41" s="276">
        <f ca="1">INDEX(OFFSET('Baseline NFPC'!$D$1:$W$1,$D41-1,0),MATCH(H$4,'Baseline NFPC'!$D$10:$W$10,0))</f>
        <v>59.323909715398628</v>
      </c>
      <c r="I41" s="276">
        <f ca="1">INDEX(OFFSET('Baseline NFPC'!$D$1:$W$1,$D41-1,0),MATCH(I$4,'Baseline NFPC'!$D$10:$W$10,0))</f>
        <v>59.877775911219466</v>
      </c>
      <c r="J41" s="276">
        <f ca="1">INDEX(OFFSET('Baseline NFPC'!$D$1:$W$1,$D41-1,0),MATCH(J$4,'Baseline NFPC'!$D$10:$W$10,0))</f>
        <v>61.158386787229368</v>
      </c>
      <c r="K41" s="276">
        <f ca="1">INDEX(OFFSET('Baseline NFPC'!$D$1:$W$1,$D41-1,0),MATCH(K$4,'Baseline NFPC'!$D$10:$W$10,0))</f>
        <v>62.506710412013071</v>
      </c>
      <c r="L41" s="276">
        <f ca="1">INDEX(OFFSET('Baseline NFPC'!$D$1:$W$1,$D41-1,0),MATCH(L$4,'Baseline NFPC'!$D$10:$W$10,0))</f>
        <v>63.660359065585226</v>
      </c>
      <c r="M41" s="276">
        <f ca="1">INDEX(OFFSET('Baseline NFPC'!$D$1:$W$1,$D41-1,0),MATCH(M$4,'Baseline NFPC'!$D$10:$W$10,0))</f>
        <v>64.901456067522204</v>
      </c>
      <c r="N41" s="276">
        <f ca="1">INDEX(OFFSET('Baseline NFPC'!$D$1:$W$1,$D41-1,0),MATCH(N$4,'Baseline NFPC'!$D$10:$W$10,0))</f>
        <v>66.234955189229638</v>
      </c>
      <c r="O41" s="276">
        <f ca="1">INDEX(OFFSET('Baseline NFPC'!$D$1:$W$1,$D41-1,0),MATCH(O$4,'Baseline NFPC'!$D$10:$W$10,0))</f>
        <v>67.616800948059932</v>
      </c>
      <c r="P41" s="276">
        <f ca="1">INDEX(OFFSET('Baseline NFPC'!$D$1:$W$1,$D41-1,0),MATCH(P$4,'Baseline NFPC'!$D$10:$W$10,0))</f>
        <v>69.027559101449498</v>
      </c>
      <c r="Q41" s="276">
        <f ca="1">INDEX(OFFSET('Baseline NFPC'!$D$1:$W$1,$D41-1,0),MATCH(Q$4,'Baseline NFPC'!$D$10:$W$10,0))</f>
        <v>70.507982171251868</v>
      </c>
      <c r="R41" s="276">
        <f ca="1">INDEX(OFFSET('Baseline NFPC'!$D$1:$W$1,$D41-1,0),MATCH(R$4,'Baseline NFPC'!$D$10:$W$10,0))</f>
        <v>72.065144450816021</v>
      </c>
      <c r="S41" s="276">
        <f ca="1">INDEX(OFFSET('Baseline NFPC'!$D$1:$W$1,$D41-1,0),MATCH(S$4,'Baseline NFPC'!$D$10:$W$10,0))</f>
        <v>73.689904275011656</v>
      </c>
      <c r="T41" s="276">
        <f ca="1">INDEX(OFFSET('Baseline NFPC'!$D$1:$W$1,$D41-1,0),MATCH(T$4,'Baseline NFPC'!$D$10:$W$10,0))</f>
        <v>75.25699325201559</v>
      </c>
      <c r="U41" s="276">
        <f ca="1">INDEX(OFFSET('Baseline NFPC'!$D$1:$W$1,$D41-1,0),MATCH(U$4,'Baseline NFPC'!$D$10:$W$10,0))</f>
        <v>76.78443739827587</v>
      </c>
      <c r="V41" s="276">
        <f ca="1">INDEX(OFFSET('Baseline NFPC'!$D$1:$W$1,$D41-1,0),MATCH(V$4,'Baseline NFPC'!$D$10:$W$10,0))</f>
        <v>78.233129186404398</v>
      </c>
      <c r="W41" s="276">
        <f ca="1">INDEX(OFFSET('Baseline NFPC'!$D$1:$W$1,$D41-1,0),MATCH(W$4,'Baseline NFPC'!$D$10:$W$10,0))</f>
        <v>79.602584484835631</v>
      </c>
      <c r="X41" s="276">
        <f ca="1">INDEX(OFFSET('Baseline NFPC'!$D$1:$W$1,$D41-1,0),MATCH(X$4,'Baseline NFPC'!$D$10:$W$10,0))</f>
        <v>80.942814085302516</v>
      </c>
      <c r="Y41" s="192"/>
    </row>
    <row r="42" spans="1:25" x14ac:dyDescent="0.2">
      <c r="A42" s="192"/>
      <c r="B42" s="283">
        <v>2</v>
      </c>
      <c r="C42" s="287" t="s">
        <v>154</v>
      </c>
      <c r="D42" s="288">
        <v>76</v>
      </c>
      <c r="E42" s="289" t="s">
        <v>153</v>
      </c>
      <c r="F42" s="276">
        <f ca="1">INDEX(OFFSET('Baseline NFPC'!$D$1:$W$1,$D42-1,0),MATCH(F$4,'Baseline NFPC'!$D$10:$W$10,0))</f>
        <v>-0.69110970262048821</v>
      </c>
      <c r="G42" s="276">
        <f ca="1">INDEX(OFFSET('Baseline NFPC'!$D$1:$W$1,$D42-1,0),MATCH(G$4,'Baseline NFPC'!$D$10:$W$10,0))</f>
        <v>-2.6152547775931434</v>
      </c>
      <c r="H42" s="276">
        <f ca="1">INDEX(OFFSET('Baseline NFPC'!$D$1:$W$1,$D42-1,0),MATCH(H$4,'Baseline NFPC'!$D$10:$W$10,0))</f>
        <v>-2.7194880378950583</v>
      </c>
      <c r="I42" s="276">
        <f ca="1">INDEX(OFFSET('Baseline NFPC'!$D$1:$W$1,$D42-1,0),MATCH(I$4,'Baseline NFPC'!$D$10:$W$10,0))</f>
        <v>-2.9990017025178011</v>
      </c>
      <c r="J42" s="276">
        <f ca="1">INDEX(OFFSET('Baseline NFPC'!$D$1:$W$1,$D42-1,0),MATCH(J$4,'Baseline NFPC'!$D$10:$W$10,0))</f>
        <v>-3.4351590057246328</v>
      </c>
      <c r="K42" s="276">
        <f ca="1">INDEX(OFFSET('Baseline NFPC'!$D$1:$W$1,$D42-1,0),MATCH(K$4,'Baseline NFPC'!$D$10:$W$10,0))</f>
        <v>-3.71520893991545</v>
      </c>
      <c r="L42" s="276">
        <f ca="1">INDEX(OFFSET('Baseline NFPC'!$D$1:$W$1,$D42-1,0),MATCH(L$4,'Baseline NFPC'!$D$10:$W$10,0))</f>
        <v>-3.8099870359613357</v>
      </c>
      <c r="M42" s="276">
        <f ca="1">INDEX(OFFSET('Baseline NFPC'!$D$1:$W$1,$D42-1,0),MATCH(M$4,'Baseline NFPC'!$D$10:$W$10,0))</f>
        <v>-3.9015241584935074</v>
      </c>
      <c r="N42" s="276">
        <f ca="1">INDEX(OFFSET('Baseline NFPC'!$D$1:$W$1,$D42-1,0),MATCH(N$4,'Baseline NFPC'!$D$10:$W$10,0))</f>
        <v>-3.9952973673136936</v>
      </c>
      <c r="O42" s="276">
        <f ca="1">INDEX(OFFSET('Baseline NFPC'!$D$1:$W$1,$D42-1,0),MATCH(O$4,'Baseline NFPC'!$D$10:$W$10,0))</f>
        <v>-4.0756332140600202</v>
      </c>
      <c r="P42" s="276">
        <f ca="1">INDEX(OFFSET('Baseline NFPC'!$D$1:$W$1,$D42-1,0),MATCH(P$4,'Baseline NFPC'!$D$10:$W$10,0))</f>
        <v>-4.1479070650647785</v>
      </c>
      <c r="Q42" s="276">
        <f ca="1">INDEX(OFFSET('Baseline NFPC'!$D$1:$W$1,$D42-1,0),MATCH(Q$4,'Baseline NFPC'!$D$10:$W$10,0))</f>
        <v>-4.2208244982912042</v>
      </c>
      <c r="R42" s="276">
        <f ca="1">INDEX(OFFSET('Baseline NFPC'!$D$1:$W$1,$D42-1,0),MATCH(R$4,'Baseline NFPC'!$D$10:$W$10,0))</f>
        <v>-4.3012625194516554</v>
      </c>
      <c r="S42" s="276">
        <f ca="1">INDEX(OFFSET('Baseline NFPC'!$D$1:$W$1,$D42-1,0),MATCH(S$4,'Baseline NFPC'!$D$10:$W$10,0))</f>
        <v>-4.3730973553505663</v>
      </c>
      <c r="T42" s="276">
        <f ca="1">INDEX(OFFSET('Baseline NFPC'!$D$1:$W$1,$D42-1,0),MATCH(T$4,'Baseline NFPC'!$D$10:$W$10,0))</f>
        <v>-4.4098628143554306</v>
      </c>
      <c r="U42" s="276">
        <f ca="1">INDEX(OFFSET('Baseline NFPC'!$D$1:$W$1,$D42-1,0),MATCH(U$4,'Baseline NFPC'!$D$10:$W$10,0))</f>
        <v>-4.432087635112552</v>
      </c>
      <c r="V42" s="276">
        <f ca="1">INDEX(OFFSET('Baseline NFPC'!$D$1:$W$1,$D42-1,0),MATCH(V$4,'Baseline NFPC'!$D$10:$W$10,0))</f>
        <v>-4.4357110348314945</v>
      </c>
      <c r="W42" s="276">
        <f ca="1">INDEX(OFFSET('Baseline NFPC'!$D$1:$W$1,$D42-1,0),MATCH(W$4,'Baseline NFPC'!$D$10:$W$10,0))</f>
        <v>-4.4310343621292958</v>
      </c>
      <c r="X42" s="276">
        <f ca="1">INDEX(OFFSET('Baseline NFPC'!$D$1:$W$1,$D42-1,0),MATCH(X$4,'Baseline NFPC'!$D$10:$W$10,0))</f>
        <v>-4.4260808682446342</v>
      </c>
      <c r="Y42" s="192"/>
    </row>
    <row r="43" spans="1:25" x14ac:dyDescent="0.2">
      <c r="A43" s="192"/>
      <c r="B43" s="283">
        <v>3</v>
      </c>
      <c r="C43" s="287" t="s">
        <v>18</v>
      </c>
      <c r="D43" s="288">
        <v>12</v>
      </c>
      <c r="E43" s="289" t="s">
        <v>155</v>
      </c>
      <c r="F43" s="276">
        <f ca="1">INDEX(OFFSET('Baseline NFPC'!$D$1:$W$1,$D43-1,0),MATCH(F$4,'Baseline NFPC'!$D$10:$W$10,0))</f>
        <v>-0.118968</v>
      </c>
      <c r="G43" s="276">
        <f ca="1">INDEX(OFFSET('Baseline NFPC'!$D$1:$W$1,$D43-1,0),MATCH(G$4,'Baseline NFPC'!$D$10:$W$10,0))</f>
        <v>-1.9611449999999999</v>
      </c>
      <c r="H43" s="276">
        <f ca="1">INDEX(OFFSET('Baseline NFPC'!$D$1:$W$1,$D43-1,0),MATCH(H$4,'Baseline NFPC'!$D$10:$W$10,0))</f>
        <v>-1.9611449999999999</v>
      </c>
      <c r="I43" s="276">
        <f ca="1">INDEX(OFFSET('Baseline NFPC'!$D$1:$W$1,$D43-1,0),MATCH(I$4,'Baseline NFPC'!$D$10:$W$10,0))</f>
        <v>-1.9611449999999999</v>
      </c>
      <c r="J43" s="276">
        <f ca="1">INDEX(OFFSET('Baseline NFPC'!$D$1:$W$1,$D43-1,0),MATCH(J$4,'Baseline NFPC'!$D$10:$W$10,0))</f>
        <v>-1.9611449999999999</v>
      </c>
      <c r="K43" s="276">
        <f ca="1">INDEX(OFFSET('Baseline NFPC'!$D$1:$W$1,$D43-1,0),MATCH(K$4,'Baseline NFPC'!$D$10:$W$10,0))</f>
        <v>-1.9611449999999999</v>
      </c>
      <c r="L43" s="276">
        <f ca="1">INDEX(OFFSET('Baseline NFPC'!$D$1:$W$1,$D43-1,0),MATCH(L$4,'Baseline NFPC'!$D$10:$W$10,0))</f>
        <v>-1.9611449999999999</v>
      </c>
      <c r="M43" s="276">
        <f ca="1">INDEX(OFFSET('Baseline NFPC'!$D$1:$W$1,$D43-1,0),MATCH(M$4,'Baseline NFPC'!$D$10:$W$10,0))</f>
        <v>-1.9611449999999999</v>
      </c>
      <c r="N43" s="276">
        <f ca="1">INDEX(OFFSET('Baseline NFPC'!$D$1:$W$1,$D43-1,0),MATCH(N$4,'Baseline NFPC'!$D$10:$W$10,0))</f>
        <v>-1.9611449999999999</v>
      </c>
      <c r="O43" s="276">
        <f ca="1">INDEX(OFFSET('Baseline NFPC'!$D$1:$W$1,$D43-1,0),MATCH(O$4,'Baseline NFPC'!$D$10:$W$10,0))</f>
        <v>-1.9611449999999999</v>
      </c>
      <c r="P43" s="276">
        <f ca="1">INDEX(OFFSET('Baseline NFPC'!$D$1:$W$1,$D43-1,0),MATCH(P$4,'Baseline NFPC'!$D$10:$W$10,0))</f>
        <v>-1.9611449999999999</v>
      </c>
      <c r="Q43" s="276">
        <f ca="1">INDEX(OFFSET('Baseline NFPC'!$D$1:$W$1,$D43-1,0),MATCH(Q$4,'Baseline NFPC'!$D$10:$W$10,0))</f>
        <v>-1.9611449999999999</v>
      </c>
      <c r="R43" s="276">
        <f ca="1">INDEX(OFFSET('Baseline NFPC'!$D$1:$W$1,$D43-1,0),MATCH(R$4,'Baseline NFPC'!$D$10:$W$10,0))</f>
        <v>-1.9611449999999999</v>
      </c>
      <c r="S43" s="276">
        <f ca="1">INDEX(OFFSET('Baseline NFPC'!$D$1:$W$1,$D43-1,0),MATCH(S$4,'Baseline NFPC'!$D$10:$W$10,0))</f>
        <v>-1.9611449999999999</v>
      </c>
      <c r="T43" s="276">
        <f ca="1">INDEX(OFFSET('Baseline NFPC'!$D$1:$W$1,$D43-1,0),MATCH(T$4,'Baseline NFPC'!$D$10:$W$10,0))</f>
        <v>-1.9611449999999999</v>
      </c>
      <c r="U43" s="276">
        <f ca="1">INDEX(OFFSET('Baseline NFPC'!$D$1:$W$1,$D43-1,0),MATCH(U$4,'Baseline NFPC'!$D$10:$W$10,0))</f>
        <v>-1.9611449999999999</v>
      </c>
      <c r="V43" s="276">
        <f ca="1">INDEX(OFFSET('Baseline NFPC'!$D$1:$W$1,$D43-1,0),MATCH(V$4,'Baseline NFPC'!$D$10:$W$10,0))</f>
        <v>-1.9611449999999999</v>
      </c>
      <c r="W43" s="276">
        <f ca="1">INDEX(OFFSET('Baseline NFPC'!$D$1:$W$1,$D43-1,0),MATCH(W$4,'Baseline NFPC'!$D$10:$W$10,0))</f>
        <v>-1.9611449999999999</v>
      </c>
      <c r="X43" s="276">
        <f ca="1">INDEX(OFFSET('Baseline NFPC'!$D$1:$W$1,$D43-1,0),MATCH(X$4,'Baseline NFPC'!$D$10:$W$10,0))</f>
        <v>-1.9611449999999999</v>
      </c>
      <c r="Y43" s="192"/>
    </row>
    <row r="44" spans="1:25" x14ac:dyDescent="0.2">
      <c r="A44" s="192"/>
      <c r="B44" s="283">
        <v>4</v>
      </c>
      <c r="C44" s="287" t="s">
        <v>156</v>
      </c>
      <c r="D44" s="288">
        <v>61</v>
      </c>
      <c r="E44" s="289" t="s">
        <v>155</v>
      </c>
      <c r="F44" s="276">
        <f ca="1">INDEX(OFFSET('Baseline NFPC'!$D$1:$W$1,$D44-1,0),MATCH(F$4,'Baseline NFPC'!$D$10:$W$10,0))</f>
        <v>-1.1193332564004566</v>
      </c>
      <c r="G44" s="276">
        <f ca="1">INDEX(OFFSET('Baseline NFPC'!$D$1:$W$1,$D44-1,0),MATCH(G$4,'Baseline NFPC'!$D$10:$W$10,0))</f>
        <v>-0.97514638149010979</v>
      </c>
      <c r="H44" s="276">
        <f ca="1">INDEX(OFFSET('Baseline NFPC'!$D$1:$W$1,$D44-1,0),MATCH(H$4,'Baseline NFPC'!$D$10:$W$10,0))</f>
        <v>-0.85252710689400191</v>
      </c>
      <c r="I44" s="276">
        <f ca="1">INDEX(OFFSET('Baseline NFPC'!$D$1:$W$1,$D44-1,0),MATCH(I$4,'Baseline NFPC'!$D$10:$W$10,0))</f>
        <v>-0.56834870445359453</v>
      </c>
      <c r="J44" s="276">
        <f ca="1">INDEX(OFFSET('Baseline NFPC'!$D$1:$W$1,$D44-1,0),MATCH(J$4,'Baseline NFPC'!$D$10:$W$10,0))</f>
        <v>-0.1894479068395854</v>
      </c>
      <c r="K44" s="276">
        <f ca="1">INDEX(OFFSET('Baseline NFPC'!$D$1:$W$1,$D44-1,0),MATCH(K$4,'Baseline NFPC'!$D$10:$W$10,0))</f>
        <v>2.9055919282261478E-6</v>
      </c>
      <c r="L44" s="276">
        <f ca="1">INDEX(OFFSET('Baseline NFPC'!$D$1:$W$1,$D44-1,0),MATCH(L$4,'Baseline NFPC'!$D$10:$W$10,0))</f>
        <v>2.4714466543285241E-6</v>
      </c>
      <c r="M44" s="276">
        <f ca="1">INDEX(OFFSET('Baseline NFPC'!$D$1:$W$1,$D44-1,0),MATCH(M$4,'Baseline NFPC'!$D$10:$W$10,0))</f>
        <v>4.2101536012140169E-6</v>
      </c>
      <c r="N44" s="276">
        <f ca="1">INDEX(OFFSET('Baseline NFPC'!$D$1:$W$1,$D44-1,0),MATCH(N$4,'Baseline NFPC'!$D$10:$W$10,0))</f>
        <v>5.0806361070132585E-6</v>
      </c>
      <c r="O44" s="276">
        <f ca="1">INDEX(OFFSET('Baseline NFPC'!$D$1:$W$1,$D44-1,0),MATCH(O$4,'Baseline NFPC'!$D$10:$W$10,0))</f>
        <v>2.902593656251007E-6</v>
      </c>
      <c r="P44" s="276">
        <f ca="1">INDEX(OFFSET('Baseline NFPC'!$D$1:$W$1,$D44-1,0),MATCH(P$4,'Baseline NFPC'!$D$10:$W$10,0))</f>
        <v>1.594874383348266E-6</v>
      </c>
      <c r="Q44" s="276">
        <f ca="1">INDEX(OFFSET('Baseline NFPC'!$D$1:$W$1,$D44-1,0),MATCH(Q$4,'Baseline NFPC'!$D$10:$W$10,0))</f>
        <v>2.0310182576754878E-6</v>
      </c>
      <c r="R44" s="276">
        <f ca="1">INDEX(OFFSET('Baseline NFPC'!$D$1:$W$1,$D44-1,0),MATCH(R$4,'Baseline NFPC'!$D$10:$W$10,0))</f>
        <v>7.2187357638142655E-7</v>
      </c>
      <c r="S44" s="276">
        <f ca="1">INDEX(OFFSET('Baseline NFPC'!$D$1:$W$1,$D44-1,0),MATCH(S$4,'Baseline NFPC'!$D$10:$W$10,0))</f>
        <v>-1.5136547737437667E-7</v>
      </c>
      <c r="T44" s="276">
        <f ca="1">INDEX(OFFSET('Baseline NFPC'!$D$1:$W$1,$D44-1,0),MATCH(T$4,'Baseline NFPC'!$D$10:$W$10,0))</f>
        <v>-5.8766784845065705E-7</v>
      </c>
      <c r="U44" s="276">
        <f ca="1">INDEX(OFFSET('Baseline NFPC'!$D$1:$W$1,$D44-1,0),MATCH(U$4,'Baseline NFPC'!$D$10:$W$10,0))</f>
        <v>-5.8766784845065705E-7</v>
      </c>
      <c r="V44" s="276">
        <f ca="1">INDEX(OFFSET('Baseline NFPC'!$D$1:$W$1,$D44-1,0),MATCH(V$4,'Baseline NFPC'!$D$10:$W$10,0))</f>
        <v>-5.8766785828723298E-7</v>
      </c>
      <c r="W44" s="276">
        <f ca="1">INDEX(OFFSET('Baseline NFPC'!$D$1:$W$1,$D44-1,0),MATCH(W$4,'Baseline NFPC'!$D$10:$W$10,0))</f>
        <v>1.5908252404495117E-6</v>
      </c>
      <c r="X44" s="276">
        <f ca="1">INDEX(OFFSET('Baseline NFPC'!$D$1:$W$1,$D44-1,0),MATCH(X$4,'Baseline NFPC'!$D$10:$W$10,0))</f>
        <v>1.5908252404495117E-6</v>
      </c>
      <c r="Y44" s="192"/>
    </row>
    <row r="45" spans="1:25" x14ac:dyDescent="0.2">
      <c r="A45" s="192"/>
      <c r="B45" s="283">
        <v>5</v>
      </c>
      <c r="C45" s="287" t="s">
        <v>158</v>
      </c>
      <c r="D45" s="288">
        <v>67</v>
      </c>
      <c r="E45" s="289" t="s">
        <v>153</v>
      </c>
      <c r="F45" s="276">
        <f ca="1">INDEX(OFFSET('Baseline NFPC'!$D$1:$W$1,$D45-1,0),MATCH(F$4,'Baseline NFPC'!$D$10:$W$10,0))</f>
        <v>1.6914749590209448</v>
      </c>
      <c r="G45" s="276">
        <f ca="1">INDEX(OFFSET('Baseline NFPC'!$D$1:$W$1,$D45-1,0),MATCH(G$4,'Baseline NFPC'!$D$10:$W$10,0))</f>
        <v>1.6292561590832533</v>
      </c>
      <c r="H45" s="276">
        <f ca="1">INDEX(OFFSET('Baseline NFPC'!$D$1:$W$1,$D45-1,0),MATCH(H$4,'Baseline NFPC'!$D$10:$W$10,0))</f>
        <v>1.5955209447890555</v>
      </c>
      <c r="I45" s="276">
        <f ca="1">INDEX(OFFSET('Baseline NFPC'!$D$1:$W$1,$D45-1,0),MATCH(I$4,'Baseline NFPC'!$D$10:$W$10,0))</f>
        <v>1.6591869069713974</v>
      </c>
      <c r="J45" s="276">
        <f ca="1">INDEX(OFFSET('Baseline NFPC'!$D$1:$W$1,$D45-1,0),MATCH(J$4,'Baseline NFPC'!$D$10:$W$10,0))</f>
        <v>1.7437341125642176</v>
      </c>
      <c r="K45" s="276">
        <f ca="1">INDEX(OFFSET('Baseline NFPC'!$D$1:$W$1,$D45-1,0),MATCH(K$4,'Baseline NFPC'!$D$10:$W$10,0))</f>
        <v>1.8405039343235188</v>
      </c>
      <c r="L45" s="276">
        <f ca="1">INDEX(OFFSET('Baseline NFPC'!$D$1:$W$1,$D45-1,0),MATCH(L$4,'Baseline NFPC'!$D$10:$W$10,0))</f>
        <v>1.9412430645146803</v>
      </c>
      <c r="M45" s="276">
        <f ca="1">INDEX(OFFSET('Baseline NFPC'!$D$1:$W$1,$D45-1,0),MATCH(M$4,'Baseline NFPC'!$D$10:$W$10,0))</f>
        <v>2.0479391483399065</v>
      </c>
      <c r="N45" s="276">
        <f ca="1">INDEX(OFFSET('Baseline NFPC'!$D$1:$W$1,$D45-1,0),MATCH(N$4,'Baseline NFPC'!$D$10:$W$10,0))</f>
        <v>2.1607621866775872</v>
      </c>
      <c r="O45" s="276">
        <f ca="1">INDEX(OFFSET('Baseline NFPC'!$D$1:$W$1,$D45-1,0),MATCH(O$4,'Baseline NFPC'!$D$10:$W$10,0))</f>
        <v>2.2789309114663681</v>
      </c>
      <c r="P45" s="276">
        <f ca="1">INDEX(OFFSET('Baseline NFPC'!$D$1:$W$1,$D45-1,0),MATCH(P$4,'Baseline NFPC'!$D$10:$W$10,0))</f>
        <v>2.4015966701903921</v>
      </c>
      <c r="Q45" s="276">
        <f ca="1">INDEX(OFFSET('Baseline NFPC'!$D$1:$W$1,$D45-1,0),MATCH(Q$4,'Baseline NFPC'!$D$10:$W$10,0))</f>
        <v>2.5154643672729464</v>
      </c>
      <c r="R45" s="276">
        <f ca="1">INDEX(OFFSET('Baseline NFPC'!$D$1:$W$1,$D45-1,0),MATCH(R$4,'Baseline NFPC'!$D$10:$W$10,0))</f>
        <v>2.6222543975780797</v>
      </c>
      <c r="S45" s="276">
        <f ca="1">INDEX(OFFSET('Baseline NFPC'!$D$1:$W$1,$D45-1,0),MATCH(S$4,'Baseline NFPC'!$D$10:$W$10,0))</f>
        <v>2.7236608067160435</v>
      </c>
      <c r="T45" s="276">
        <f ca="1">INDEX(OFFSET('Baseline NFPC'!$D$1:$W$1,$D45-1,0),MATCH(T$4,'Baseline NFPC'!$D$10:$W$10,0))</f>
        <v>2.8169073020232802</v>
      </c>
      <c r="U45" s="276">
        <f ca="1">INDEX(OFFSET('Baseline NFPC'!$D$1:$W$1,$D45-1,0),MATCH(U$4,'Baseline NFPC'!$D$10:$W$10,0))</f>
        <v>2.9027328227804023</v>
      </c>
      <c r="V45" s="276">
        <f ca="1">INDEX(OFFSET('Baseline NFPC'!$D$1:$W$1,$D45-1,0),MATCH(V$4,'Baseline NFPC'!$D$10:$W$10,0))</f>
        <v>2.980526922499354</v>
      </c>
      <c r="W45" s="276">
        <f ca="1">INDEX(OFFSET('Baseline NFPC'!$D$1:$W$1,$D45-1,0),MATCH(W$4,'Baseline NFPC'!$D$10:$W$10,0))</f>
        <v>3.0505387713040575</v>
      </c>
      <c r="X45" s="276">
        <f ca="1">INDEX(OFFSET('Baseline NFPC'!$D$1:$W$1,$D45-1,0),MATCH(X$4,'Baseline NFPC'!$D$10:$W$10,0))</f>
        <v>3.1150959774193967</v>
      </c>
      <c r="Y45" s="192"/>
    </row>
    <row r="46" spans="1:25" x14ac:dyDescent="0.2">
      <c r="A46" s="192"/>
      <c r="B46" s="283">
        <v>6</v>
      </c>
      <c r="C46" s="290" t="s">
        <v>66</v>
      </c>
      <c r="D46" s="288">
        <v>36</v>
      </c>
      <c r="E46" s="289" t="s">
        <v>159</v>
      </c>
      <c r="F46" s="276">
        <f ca="1">INDEX(OFFSET('Baseline NFPC'!$D$1:$W$1,$D46-1,0),MATCH(F$4,'Baseline NFPC'!$D$10:$W$10,0))</f>
        <v>3.8</v>
      </c>
      <c r="G46" s="276">
        <f ca="1">INDEX(OFFSET('Baseline NFPC'!$D$1:$W$1,$D46-1,0),MATCH(G$4,'Baseline NFPC'!$D$10:$W$10,0))</f>
        <v>3.3516180000000002</v>
      </c>
      <c r="H46" s="276">
        <f ca="1">INDEX(OFFSET('Baseline NFPC'!$D$1:$W$1,$D46-1,0),MATCH(H$4,'Baseline NFPC'!$D$10:$W$10,0))</f>
        <v>3.4386399999999999</v>
      </c>
      <c r="I46" s="276">
        <f ca="1">INDEX(OFFSET('Baseline NFPC'!$D$1:$W$1,$D46-1,0),MATCH(I$4,'Baseline NFPC'!$D$10:$W$10,0))</f>
        <v>3.5561875000000001</v>
      </c>
      <c r="J46" s="276">
        <f ca="1">INDEX(OFFSET('Baseline NFPC'!$D$1:$W$1,$D46-1,0),MATCH(J$4,'Baseline NFPC'!$D$10:$W$10,0))</f>
        <v>3.6737350000000002</v>
      </c>
      <c r="K46" s="276">
        <f ca="1">INDEX(OFFSET('Baseline NFPC'!$D$1:$W$1,$D46-1,0),MATCH(K$4,'Baseline NFPC'!$D$10:$W$10,0))</f>
        <v>3.7912825000000003</v>
      </c>
      <c r="L46" s="276">
        <f ca="1">INDEX(OFFSET('Baseline NFPC'!$D$1:$W$1,$D46-1,0),MATCH(L$4,'Baseline NFPC'!$D$10:$W$10,0))</f>
        <v>3.9088300000000005</v>
      </c>
      <c r="M46" s="276">
        <f ca="1">INDEX(OFFSET('Baseline NFPC'!$D$1:$W$1,$D46-1,0),MATCH(M$4,'Baseline NFPC'!$D$10:$W$10,0))</f>
        <v>4.0263775000000006</v>
      </c>
      <c r="N46" s="276">
        <f ca="1">INDEX(OFFSET('Baseline NFPC'!$D$1:$W$1,$D46-1,0),MATCH(N$4,'Baseline NFPC'!$D$10:$W$10,0))</f>
        <v>4.1439250000000003</v>
      </c>
      <c r="O46" s="276">
        <f ca="1">INDEX(OFFSET('Baseline NFPC'!$D$1:$W$1,$D46-1,0),MATCH(O$4,'Baseline NFPC'!$D$10:$W$10,0))</f>
        <v>4.2614725</v>
      </c>
      <c r="P46" s="276">
        <f ca="1">INDEX(OFFSET('Baseline NFPC'!$D$1:$W$1,$D46-1,0),MATCH(P$4,'Baseline NFPC'!$D$10:$W$10,0))</f>
        <v>4.3790199999999997</v>
      </c>
      <c r="Q46" s="276">
        <f ca="1">INDEX(OFFSET('Baseline NFPC'!$D$1:$W$1,$D46-1,0),MATCH(Q$4,'Baseline NFPC'!$D$10:$W$10,0))</f>
        <v>4.3600689999999993</v>
      </c>
      <c r="R46" s="276">
        <f ca="1">INDEX(OFFSET('Baseline NFPC'!$D$1:$W$1,$D46-1,0),MATCH(R$4,'Baseline NFPC'!$D$10:$W$10,0))</f>
        <v>4.3411179999999998</v>
      </c>
      <c r="S46" s="276">
        <f ca="1">INDEX(OFFSET('Baseline NFPC'!$D$1:$W$1,$D46-1,0),MATCH(S$4,'Baseline NFPC'!$D$10:$W$10,0))</f>
        <v>4.3221669999999994</v>
      </c>
      <c r="T46" s="276">
        <f ca="1">INDEX(OFFSET('Baseline NFPC'!$D$1:$W$1,$D46-1,0),MATCH(T$4,'Baseline NFPC'!$D$10:$W$10,0))</f>
        <v>4.3032159999999999</v>
      </c>
      <c r="U46" s="276">
        <f ca="1">INDEX(OFFSET('Baseline NFPC'!$D$1:$W$1,$D46-1,0),MATCH(U$4,'Baseline NFPC'!$D$10:$W$10,0))</f>
        <v>4.2842649999999995</v>
      </c>
      <c r="V46" s="276">
        <f ca="1">INDEX(OFFSET('Baseline NFPC'!$D$1:$W$1,$D46-1,0),MATCH(V$4,'Baseline NFPC'!$D$10:$W$10,0))</f>
        <v>4.265314</v>
      </c>
      <c r="W46" s="276">
        <f ca="1">INDEX(OFFSET('Baseline NFPC'!$D$1:$W$1,$D46-1,0),MATCH(W$4,'Baseline NFPC'!$D$10:$W$10,0))</f>
        <v>4.2463629999999997</v>
      </c>
      <c r="X46" s="276">
        <f ca="1">INDEX(OFFSET('Baseline NFPC'!$D$1:$W$1,$D46-1,0),MATCH(X$4,'Baseline NFPC'!$D$10:$W$10,0))</f>
        <v>4.2274120000000002</v>
      </c>
      <c r="Y46" s="192"/>
    </row>
    <row r="47" spans="1:25" x14ac:dyDescent="0.2">
      <c r="A47" s="192"/>
      <c r="B47" s="283">
        <v>7</v>
      </c>
      <c r="C47" s="290" t="s">
        <v>67</v>
      </c>
      <c r="D47" s="288">
        <v>37</v>
      </c>
      <c r="E47" s="289" t="s">
        <v>159</v>
      </c>
      <c r="F47" s="276">
        <f ca="1">INDEX(OFFSET('Baseline NFPC'!$D$1:$W$1,$D47-1,0),MATCH(F$4,'Baseline NFPC'!$D$10:$W$10,0))</f>
        <v>3.43</v>
      </c>
      <c r="G47" s="276">
        <f ca="1">INDEX(OFFSET('Baseline NFPC'!$D$1:$W$1,$D47-1,0),MATCH(G$4,'Baseline NFPC'!$D$10:$W$10,0))</f>
        <v>3.5642079999999998</v>
      </c>
      <c r="H47" s="276">
        <f ca="1">INDEX(OFFSET('Baseline NFPC'!$D$1:$W$1,$D47-1,0),MATCH(H$4,'Baseline NFPC'!$D$10:$W$10,0))</f>
        <v>2.8163749999999999</v>
      </c>
      <c r="I47" s="276">
        <f ca="1">INDEX(OFFSET('Baseline NFPC'!$D$1:$W$1,$D47-1,0),MATCH(I$4,'Baseline NFPC'!$D$10:$W$10,0))</f>
        <v>2.8050893749999997</v>
      </c>
      <c r="J47" s="276">
        <f ca="1">INDEX(OFFSET('Baseline NFPC'!$D$1:$W$1,$D47-1,0),MATCH(J$4,'Baseline NFPC'!$D$10:$W$10,0))</f>
        <v>2.7938037499999995</v>
      </c>
      <c r="K47" s="276">
        <f ca="1">INDEX(OFFSET('Baseline NFPC'!$D$1:$W$1,$D47-1,0),MATCH(K$4,'Baseline NFPC'!$D$10:$W$10,0))</f>
        <v>2.7825181249999993</v>
      </c>
      <c r="L47" s="276">
        <f ca="1">INDEX(OFFSET('Baseline NFPC'!$D$1:$W$1,$D47-1,0),MATCH(L$4,'Baseline NFPC'!$D$10:$W$10,0))</f>
        <v>2.7712324999999991</v>
      </c>
      <c r="M47" s="276">
        <f ca="1">INDEX(OFFSET('Baseline NFPC'!$D$1:$W$1,$D47-1,0),MATCH(M$4,'Baseline NFPC'!$D$10:$W$10,0))</f>
        <v>2.7599468749999989</v>
      </c>
      <c r="N47" s="276">
        <f ca="1">INDEX(OFFSET('Baseline NFPC'!$D$1:$W$1,$D47-1,0),MATCH(N$4,'Baseline NFPC'!$D$10:$W$10,0))</f>
        <v>2.7486612499999987</v>
      </c>
      <c r="O47" s="276">
        <f ca="1">INDEX(OFFSET('Baseline NFPC'!$D$1:$W$1,$D47-1,0),MATCH(O$4,'Baseline NFPC'!$D$10:$W$10,0))</f>
        <v>2.7373756249999985</v>
      </c>
      <c r="P47" s="276">
        <f ca="1">INDEX(OFFSET('Baseline NFPC'!$D$1:$W$1,$D47-1,0),MATCH(P$4,'Baseline NFPC'!$D$10:$W$10,0))</f>
        <v>2.7260900000000001</v>
      </c>
      <c r="Q47" s="276">
        <f ca="1">INDEX(OFFSET('Baseline NFPC'!$D$1:$W$1,$D47-1,0),MATCH(Q$4,'Baseline NFPC'!$D$10:$W$10,0))</f>
        <v>2.6897855000000002</v>
      </c>
      <c r="R47" s="276">
        <f ca="1">INDEX(OFFSET('Baseline NFPC'!$D$1:$W$1,$D47-1,0),MATCH(R$4,'Baseline NFPC'!$D$10:$W$10,0))</f>
        <v>2.6534810000000002</v>
      </c>
      <c r="S47" s="276">
        <f ca="1">INDEX(OFFSET('Baseline NFPC'!$D$1:$W$1,$D47-1,0),MATCH(S$4,'Baseline NFPC'!$D$10:$W$10,0))</f>
        <v>2.6171765000000002</v>
      </c>
      <c r="T47" s="276">
        <f ca="1">INDEX(OFFSET('Baseline NFPC'!$D$1:$W$1,$D47-1,0),MATCH(T$4,'Baseline NFPC'!$D$10:$W$10,0))</f>
        <v>2.5808720000000003</v>
      </c>
      <c r="U47" s="276">
        <f ca="1">INDEX(OFFSET('Baseline NFPC'!$D$1:$W$1,$D47-1,0),MATCH(U$4,'Baseline NFPC'!$D$10:$W$10,0))</f>
        <v>2.5445675000000003</v>
      </c>
      <c r="V47" s="276">
        <f ca="1">INDEX(OFFSET('Baseline NFPC'!$D$1:$W$1,$D47-1,0),MATCH(V$4,'Baseline NFPC'!$D$10:$W$10,0))</f>
        <v>2.5082629999999999</v>
      </c>
      <c r="W47" s="276">
        <f ca="1">INDEX(OFFSET('Baseline NFPC'!$D$1:$W$1,$D47-1,0),MATCH(W$4,'Baseline NFPC'!$D$10:$W$10,0))</f>
        <v>2.4719584999999999</v>
      </c>
      <c r="X47" s="276">
        <f ca="1">INDEX(OFFSET('Baseline NFPC'!$D$1:$W$1,$D47-1,0),MATCH(X$4,'Baseline NFPC'!$D$10:$W$10,0))</f>
        <v>2.435654</v>
      </c>
      <c r="Y47" s="192"/>
    </row>
    <row r="48" spans="1:25" x14ac:dyDescent="0.2">
      <c r="A48" s="192"/>
      <c r="B48" s="283">
        <v>8</v>
      </c>
      <c r="C48" s="287" t="s">
        <v>160</v>
      </c>
      <c r="D48" s="288">
        <v>35</v>
      </c>
      <c r="E48" s="289" t="s">
        <v>159</v>
      </c>
      <c r="F48" s="276">
        <f ca="1">INDEX(OFFSET('Baseline NFPC'!$D$1:$W$1,$D48-1,0),MATCH(F$4,'Baseline NFPC'!$D$10:$W$10,0))</f>
        <v>2.7909440000000001</v>
      </c>
      <c r="G48" s="276">
        <f ca="1">INDEX(OFFSET('Baseline NFPC'!$D$1:$W$1,$D48-1,0),MATCH(G$4,'Baseline NFPC'!$D$10:$W$10,0))</f>
        <v>2.8182960000000001</v>
      </c>
      <c r="H48" s="276">
        <f ca="1">INDEX(OFFSET('Baseline NFPC'!$D$1:$W$1,$D48-1,0),MATCH(H$4,'Baseline NFPC'!$D$10:$W$10,0))</f>
        <v>2.8191980000000001</v>
      </c>
      <c r="I48" s="276">
        <f ca="1">INDEX(OFFSET('Baseline NFPC'!$D$1:$W$1,$D48-1,0),MATCH(I$4,'Baseline NFPC'!$D$10:$W$10,0))</f>
        <v>2.91705812942355</v>
      </c>
      <c r="J48" s="276">
        <f ca="1">INDEX(OFFSET('Baseline NFPC'!$D$1:$W$1,$D48-1,0),MATCH(J$4,'Baseline NFPC'!$D$10:$W$10,0))</f>
        <v>3.0208534407754182</v>
      </c>
      <c r="K48" s="276">
        <f ca="1">INDEX(OFFSET('Baseline NFPC'!$D$1:$W$1,$D48-1,0),MATCH(K$4,'Baseline NFPC'!$D$10:$W$10,0))</f>
        <v>3.1305612005793386</v>
      </c>
      <c r="L48" s="276">
        <f ca="1">INDEX(OFFSET('Baseline NFPC'!$D$1:$W$1,$D48-1,0),MATCH(L$4,'Baseline NFPC'!$D$10:$W$10,0))</f>
        <v>3.2434937305883933</v>
      </c>
      <c r="M48" s="276">
        <f ca="1">INDEX(OFFSET('Baseline NFPC'!$D$1:$W$1,$D48-1,0),MATCH(M$4,'Baseline NFPC'!$D$10:$W$10,0))</f>
        <v>3.3572810399101249</v>
      </c>
      <c r="N48" s="276">
        <f ca="1">INDEX(OFFSET('Baseline NFPC'!$D$1:$W$1,$D48-1,0),MATCH(N$4,'Baseline NFPC'!$D$10:$W$10,0))</f>
        <v>3.4716806973137562</v>
      </c>
      <c r="O48" s="276">
        <f ca="1">INDEX(OFFSET('Baseline NFPC'!$D$1:$W$1,$D48-1,0),MATCH(O$4,'Baseline NFPC'!$D$10:$W$10,0))</f>
        <v>3.5865423830524708</v>
      </c>
      <c r="P48" s="276">
        <f ca="1">INDEX(OFFSET('Baseline NFPC'!$D$1:$W$1,$D48-1,0),MATCH(P$4,'Baseline NFPC'!$D$10:$W$10,0))</f>
        <v>3.7016176795207976</v>
      </c>
      <c r="Q48" s="276">
        <f ca="1">INDEX(OFFSET('Baseline NFPC'!$D$1:$W$1,$D48-1,0),MATCH(Q$4,'Baseline NFPC'!$D$10:$W$10,0))</f>
        <v>3.7947989559055046</v>
      </c>
      <c r="R48" s="276">
        <f ca="1">INDEX(OFFSET('Baseline NFPC'!$D$1:$W$1,$D48-1,0),MATCH(R$4,'Baseline NFPC'!$D$10:$W$10,0))</f>
        <v>3.8696932980227854</v>
      </c>
      <c r="S48" s="276">
        <f ca="1">INDEX(OFFSET('Baseline NFPC'!$D$1:$W$1,$D48-1,0),MATCH(S$4,'Baseline NFPC'!$D$10:$W$10,0))</f>
        <v>3.9292935259882862</v>
      </c>
      <c r="T48" s="276">
        <f ca="1">INDEX(OFFSET('Baseline NFPC'!$D$1:$W$1,$D48-1,0),MATCH(T$4,'Baseline NFPC'!$D$10:$W$10,0))</f>
        <v>3.9760358459428846</v>
      </c>
      <c r="U48" s="276">
        <f ca="1">INDEX(OFFSET('Baseline NFPC'!$D$1:$W$1,$D48-1,0),MATCH(U$4,'Baseline NFPC'!$D$10:$W$10,0))</f>
        <v>4.0119399470537545</v>
      </c>
      <c r="V48" s="276">
        <f ca="1">INDEX(OFFSET('Baseline NFPC'!$D$1:$W$1,$D48-1,0),MATCH(V$4,'Baseline NFPC'!$D$10:$W$10,0))</f>
        <v>4.0387956613571951</v>
      </c>
      <c r="W48" s="276">
        <f ca="1">INDEX(OFFSET('Baseline NFPC'!$D$1:$W$1,$D48-1,0),MATCH(W$4,'Baseline NFPC'!$D$10:$W$10,0))</f>
        <v>4.0581027879889504</v>
      </c>
      <c r="X48" s="276">
        <f ca="1">INDEX(OFFSET('Baseline NFPC'!$D$1:$W$1,$D48-1,0),MATCH(X$4,'Baseline NFPC'!$D$10:$W$10,0))</f>
        <v>4.0711303873659741</v>
      </c>
      <c r="Y48" s="192"/>
    </row>
    <row r="49" spans="1:25" x14ac:dyDescent="0.2">
      <c r="A49" s="192"/>
      <c r="B49" s="283">
        <v>9</v>
      </c>
      <c r="C49" s="291" t="s">
        <v>40</v>
      </c>
      <c r="D49" s="288">
        <v>26</v>
      </c>
      <c r="E49" s="289" t="s">
        <v>162</v>
      </c>
      <c r="F49" s="276">
        <f ca="1">(INDEX(OFFSET('Baseline NFPC'!$D$1:$W$1,$D49-1,0),MATCH(F$4,'Baseline NFPC'!$D$10:$W$10,0))/INDEX(OFFSET('Baseline NFPC'!$D$1:$W$1,$D49-1,0),MATCH(E$4,'Baseline NFPC'!$D$10:$W$10,0))-1)*100</f>
        <v>4.1108680000000009</v>
      </c>
      <c r="G49" s="276">
        <f ca="1">(INDEX(OFFSET('Baseline NFPC'!$D$1:$W$1,$D49-1,0),MATCH(G$4,'Baseline NFPC'!$D$10:$W$10,0))/INDEX(OFFSET('Baseline NFPC'!$D$1:$W$1,$D49-1,0),MATCH(F$4,'Baseline NFPC'!$D$10:$W$10,0))-1)*100</f>
        <v>3.6275620000000064</v>
      </c>
      <c r="H49" s="276">
        <f ca="1">(INDEX(OFFSET('Baseline NFPC'!$D$1:$W$1,$D49-1,0),MATCH(H$4,'Baseline NFPC'!$D$10:$W$10,0))/INDEX(OFFSET('Baseline NFPC'!$D$1:$W$1,$D49-1,0),MATCH(G$4,'Baseline NFPC'!$D$10:$W$10,0))-1)*100</f>
        <v>3.2421229999999968</v>
      </c>
      <c r="I49" s="276">
        <f ca="1">(INDEX(OFFSET('Baseline NFPC'!$D$1:$W$1,$D49-1,0),MATCH(I$4,'Baseline NFPC'!$D$10:$W$10,0))/INDEX(OFFSET('Baseline NFPC'!$D$1:$W$1,$D49-1,0),MATCH(H$4,'Baseline NFPC'!$D$10:$W$10,0))-1)*100</f>
        <v>2.6986640000000062</v>
      </c>
      <c r="J49" s="276">
        <f ca="1">(INDEX(OFFSET('Baseline NFPC'!$D$1:$W$1,$D49-1,0),MATCH(J$4,'Baseline NFPC'!$D$10:$W$10,0))/INDEX(OFFSET('Baseline NFPC'!$D$1:$W$1,$D49-1,0),MATCH(I$4,'Baseline NFPC'!$D$10:$W$10,0))-1)*100</f>
        <v>2.3127640000000005</v>
      </c>
      <c r="K49" s="276">
        <f ca="1">(INDEX(OFFSET('Baseline NFPC'!$D$1:$W$1,$D49-1,0),MATCH(K$4,'Baseline NFPC'!$D$10:$W$10,0))/INDEX(OFFSET('Baseline NFPC'!$D$1:$W$1,$D49-1,0),MATCH(J$4,'Baseline NFPC'!$D$10:$W$10,0))-1)*100</f>
        <v>2.1209859999999914</v>
      </c>
      <c r="L49" s="276">
        <f ca="1">(INDEX(OFFSET('Baseline NFPC'!$D$1:$W$1,$D49-1,0),MATCH(L$4,'Baseline NFPC'!$D$10:$W$10,0))/INDEX(OFFSET('Baseline NFPC'!$D$1:$W$1,$D49-1,0),MATCH(K$4,'Baseline NFPC'!$D$10:$W$10,0))-1)*100</f>
        <v>2.0395689999999966</v>
      </c>
      <c r="M49" s="276">
        <f ca="1">(INDEX(OFFSET('Baseline NFPC'!$D$1:$W$1,$D49-1,0),MATCH(M$4,'Baseline NFPC'!$D$10:$W$10,0))/INDEX(OFFSET('Baseline NFPC'!$D$1:$W$1,$D49-1,0),MATCH(L$4,'Baseline NFPC'!$D$10:$W$10,0))-1)*100</f>
        <v>1.914810999999994</v>
      </c>
      <c r="N49" s="276">
        <f ca="1">(INDEX(OFFSET('Baseline NFPC'!$D$1:$W$1,$D49-1,0),MATCH(N$4,'Baseline NFPC'!$D$10:$W$10,0))/INDEX(OFFSET('Baseline NFPC'!$D$1:$W$1,$D49-1,0),MATCH(M$4,'Baseline NFPC'!$D$10:$W$10,0))-1)*100</f>
        <v>1.7826209999999953</v>
      </c>
      <c r="O49" s="276">
        <f ca="1">(INDEX(OFFSET('Baseline NFPC'!$D$1:$W$1,$D49-1,0),MATCH(O$4,'Baseline NFPC'!$D$10:$W$10,0))/INDEX(OFFSET('Baseline NFPC'!$D$1:$W$1,$D49-1,0),MATCH(N$4,'Baseline NFPC'!$D$10:$W$10,0))-1)*100</f>
        <v>1.6968120000000031</v>
      </c>
      <c r="P49" s="276">
        <f ca="1">(INDEX(OFFSET('Baseline NFPC'!$D$1:$W$1,$D49-1,0),MATCH(P$4,'Baseline NFPC'!$D$10:$W$10,0))/INDEX(OFFSET('Baseline NFPC'!$D$1:$W$1,$D49-1,0),MATCH(O$4,'Baseline NFPC'!$D$10:$W$10,0))-1)*100</f>
        <v>1.627310000000004</v>
      </c>
      <c r="Q49" s="276">
        <f ca="1">(INDEX(OFFSET('Baseline NFPC'!$D$1:$W$1,$D49-1,0),MATCH(Q$4,'Baseline NFPC'!$D$10:$W$10,0))/INDEX(OFFSET('Baseline NFPC'!$D$1:$W$1,$D49-1,0),MATCH(P$4,'Baseline NFPC'!$D$10:$W$10,0))-1)*100</f>
        <v>1.571984000000004</v>
      </c>
      <c r="R49" s="276">
        <f ca="1">(INDEX(OFFSET('Baseline NFPC'!$D$1:$W$1,$D49-1,0),MATCH(R$4,'Baseline NFPC'!$D$10:$W$10,0))/INDEX(OFFSET('Baseline NFPC'!$D$1:$W$1,$D49-1,0),MATCH(Q$4,'Baseline NFPC'!$D$10:$W$10,0))-1)*100</f>
        <v>1.516658999999998</v>
      </c>
      <c r="S49" s="276">
        <f ca="1">(INDEX(OFFSET('Baseline NFPC'!$D$1:$W$1,$D49-1,0),MATCH(S$4,'Baseline NFPC'!$D$10:$W$10,0))/INDEX(OFFSET('Baseline NFPC'!$D$1:$W$1,$D49-1,0),MATCH(R$4,'Baseline NFPC'!$D$10:$W$10,0))-1)*100</f>
        <v>1.461332999999998</v>
      </c>
      <c r="T49" s="276">
        <f ca="1">(INDEX(OFFSET('Baseline NFPC'!$D$1:$W$1,$D49-1,0),MATCH(T$4,'Baseline NFPC'!$D$10:$W$10,0))/INDEX(OFFSET('Baseline NFPC'!$D$1:$W$1,$D49-1,0),MATCH(S$4,'Baseline NFPC'!$D$10:$W$10,0))-1)*100</f>
        <v>1.5350889999999895</v>
      </c>
      <c r="U49" s="276">
        <f ca="1">(INDEX(OFFSET('Baseline NFPC'!$D$1:$W$1,$D49-1,0),MATCH(U$4,'Baseline NFPC'!$D$10:$W$10,0))/INDEX(OFFSET('Baseline NFPC'!$D$1:$W$1,$D49-1,0),MATCH(T$4,'Baseline NFPC'!$D$10:$W$10,0))-1)*100</f>
        <v>1.5643410000000024</v>
      </c>
      <c r="V49" s="276">
        <f ca="1">(INDEX(OFFSET('Baseline NFPC'!$D$1:$W$1,$D49-1,0),MATCH(V$4,'Baseline NFPC'!$D$10:$W$10,0))/INDEX(OFFSET('Baseline NFPC'!$D$1:$W$1,$D49-1,0),MATCH(U$4,'Baseline NFPC'!$D$10:$W$10,0))-1)*100</f>
        <v>1.6238640000000082</v>
      </c>
      <c r="W49" s="276">
        <f ca="1">(INDEX(OFFSET('Baseline NFPC'!$D$1:$W$1,$D49-1,0),MATCH(W$4,'Baseline NFPC'!$D$10:$W$10,0))/INDEX(OFFSET('Baseline NFPC'!$D$1:$W$1,$D49-1,0),MATCH(V$4,'Baseline NFPC'!$D$10:$W$10,0))-1)*100</f>
        <v>1.6757879999999892</v>
      </c>
      <c r="X49" s="276">
        <f ca="1">(INDEX(OFFSET('Baseline NFPC'!$D$1:$W$1,$D49-1,0),MATCH(X$4,'Baseline NFPC'!$D$10:$W$10,0))/INDEX(OFFSET('Baseline NFPC'!$D$1:$W$1,$D49-1,0),MATCH(W$4,'Baseline NFPC'!$D$10:$W$10,0))-1)*100</f>
        <v>1.6641359999999938</v>
      </c>
      <c r="Y49" s="192"/>
    </row>
    <row r="50" spans="1:25" x14ac:dyDescent="0.2">
      <c r="A50" s="192"/>
      <c r="B50" s="283">
        <v>10</v>
      </c>
      <c r="C50" s="279" t="s">
        <v>163</v>
      </c>
      <c r="D50" s="288">
        <v>23</v>
      </c>
      <c r="E50" s="289" t="s">
        <v>162</v>
      </c>
      <c r="F50" s="276">
        <f ca="1">INDEX(OFFSET('Baseline NFPC'!$D$1:$W$1,$D50-1,0),MATCH(F$4,'Baseline NFPC'!$D$10:$W$10,0))</f>
        <v>3.0608719999999998</v>
      </c>
      <c r="G50" s="276">
        <f ca="1">INDEX(OFFSET('Baseline NFPC'!$D$1:$W$1,$D50-1,0),MATCH(G$4,'Baseline NFPC'!$D$10:$W$10,0))</f>
        <v>3.2985890000000002</v>
      </c>
      <c r="H50" s="276">
        <f ca="1">INDEX(OFFSET('Baseline NFPC'!$D$1:$W$1,$D50-1,0),MATCH(H$4,'Baseline NFPC'!$D$10:$W$10,0))</f>
        <v>2.9625110000000001</v>
      </c>
      <c r="I50" s="276">
        <f ca="1">INDEX(OFFSET('Baseline NFPC'!$D$1:$W$1,$D50-1,0),MATCH(I$4,'Baseline NFPC'!$D$10:$W$10,0))</f>
        <v>2.0523049999999987</v>
      </c>
      <c r="J50" s="276">
        <f ca="1">INDEX(OFFSET('Baseline NFPC'!$D$1:$W$1,$D50-1,0),MATCH(J$4,'Baseline NFPC'!$D$10:$W$10,0))</f>
        <v>1.4487609999999984</v>
      </c>
      <c r="K50" s="276">
        <f ca="1">INDEX(OFFSET('Baseline NFPC'!$D$1:$W$1,$D50-1,0),MATCH(K$4,'Baseline NFPC'!$D$10:$W$10,0))</f>
        <v>1.6861210000000071</v>
      </c>
      <c r="L50" s="276">
        <f ca="1">INDEX(OFFSET('Baseline NFPC'!$D$1:$W$1,$D50-1,0),MATCH(L$4,'Baseline NFPC'!$D$10:$W$10,0))</f>
        <v>2.0395699999999906</v>
      </c>
      <c r="M50" s="276">
        <f ca="1">INDEX(OFFSET('Baseline NFPC'!$D$1:$W$1,$D50-1,0),MATCH(M$4,'Baseline NFPC'!$D$10:$W$10,0))</f>
        <v>1.9148069999999962</v>
      </c>
      <c r="N50" s="276">
        <f ca="1">INDEX(OFFSET('Baseline NFPC'!$D$1:$W$1,$D50-1,0),MATCH(N$4,'Baseline NFPC'!$D$10:$W$10,0))</f>
        <v>1.7826190000000075</v>
      </c>
      <c r="O50" s="276">
        <f ca="1">INDEX(OFFSET('Baseline NFPC'!$D$1:$W$1,$D50-1,0),MATCH(O$4,'Baseline NFPC'!$D$10:$W$10,0))</f>
        <v>1.6968169999999949</v>
      </c>
      <c r="P50" s="276">
        <f ca="1">INDEX(OFFSET('Baseline NFPC'!$D$1:$W$1,$D50-1,0),MATCH(P$4,'Baseline NFPC'!$D$10:$W$10,0))</f>
        <v>1.627313000000008</v>
      </c>
      <c r="Q50" s="276">
        <f ca="1">INDEX(OFFSET('Baseline NFPC'!$D$1:$W$1,$D50-1,0),MATCH(Q$4,'Baseline NFPC'!$D$10:$W$10,0))</f>
        <v>1.5719830000000101</v>
      </c>
      <c r="R50" s="276">
        <f ca="1">INDEX(OFFSET('Baseline NFPC'!$D$1:$W$1,$D50-1,0),MATCH(R$4,'Baseline NFPC'!$D$10:$W$10,0))</f>
        <v>1.516662000000002</v>
      </c>
      <c r="S50" s="276">
        <f ca="1">INDEX(OFFSET('Baseline NFPC'!$D$1:$W$1,$D50-1,0),MATCH(S$4,'Baseline NFPC'!$D$10:$W$10,0))</f>
        <v>1.461335000000008</v>
      </c>
      <c r="T50" s="276">
        <f ca="1">INDEX(OFFSET('Baseline NFPC'!$D$1:$W$1,$D50-1,0),MATCH(T$4,'Baseline NFPC'!$D$10:$W$10,0))</f>
        <v>1.5350900000000056</v>
      </c>
      <c r="U50" s="276">
        <f ca="1">INDEX(OFFSET('Baseline NFPC'!$D$1:$W$1,$D50-1,0),MATCH(U$4,'Baseline NFPC'!$D$10:$W$10,0))</f>
        <v>1.5643410000000024</v>
      </c>
      <c r="V50" s="276">
        <f ca="1">INDEX(OFFSET('Baseline NFPC'!$D$1:$W$1,$D50-1,0),MATCH(V$4,'Baseline NFPC'!$D$10:$W$10,0))</f>
        <v>1.6238640000000082</v>
      </c>
      <c r="W50" s="276">
        <f ca="1">INDEX(OFFSET('Baseline NFPC'!$D$1:$W$1,$D50-1,0),MATCH(W$4,'Baseline NFPC'!$D$10:$W$10,0))</f>
        <v>1.6757829999999974</v>
      </c>
      <c r="X50" s="276">
        <f ca="1">INDEX(OFFSET('Baseline NFPC'!$D$1:$W$1,$D50-1,0),MATCH(X$4,'Baseline NFPC'!$D$10:$W$10,0))</f>
        <v>1.6641359999999938</v>
      </c>
      <c r="Y50" s="192"/>
    </row>
    <row r="51" spans="1:25" x14ac:dyDescent="0.2">
      <c r="A51" s="192"/>
      <c r="B51" s="283">
        <v>11</v>
      </c>
      <c r="C51" s="292" t="s">
        <v>164</v>
      </c>
      <c r="D51" s="288">
        <v>41</v>
      </c>
      <c r="E51" s="289" t="s">
        <v>162</v>
      </c>
      <c r="F51" s="276">
        <f ca="1">INDEX(OFFSET('Baseline NFPC'!$D$1:$W$1,$D51-1,0),MATCH(F$4,'Baseline NFPC'!$D$10:$W$10,0))</f>
        <v>8.5226670000000002</v>
      </c>
      <c r="G51" s="276">
        <f ca="1">INDEX(OFFSET('Baseline NFPC'!$D$1:$W$1,$D51-1,0),MATCH(G$4,'Baseline NFPC'!$D$10:$W$10,0))</f>
        <v>5.5288409999999999</v>
      </c>
      <c r="H51" s="276">
        <f ca="1">INDEX(OFFSET('Baseline NFPC'!$D$1:$W$1,$D51-1,0),MATCH(H$4,'Baseline NFPC'!$D$10:$W$10,0))</f>
        <v>2.1515659999999999</v>
      </c>
      <c r="I51" s="276">
        <f ca="1">INDEX(OFFSET('Baseline NFPC'!$D$1:$W$1,$D51-1,0),MATCH(I$4,'Baseline NFPC'!$D$10:$W$10,0))</f>
        <v>2.2013702500000001</v>
      </c>
      <c r="J51" s="276">
        <f ca="1">INDEX(OFFSET('Baseline NFPC'!$D$1:$W$1,$D51-1,0),MATCH(J$4,'Baseline NFPC'!$D$10:$W$10,0))</f>
        <v>2.2511744999999999</v>
      </c>
      <c r="K51" s="276">
        <f ca="1">INDEX(OFFSET('Baseline NFPC'!$D$1:$W$1,$D51-1,0),MATCH(K$4,'Baseline NFPC'!$D$10:$W$10,0))</f>
        <v>2.3009787499999996</v>
      </c>
      <c r="L51" s="276">
        <f ca="1">INDEX(OFFSET('Baseline NFPC'!$D$1:$W$1,$D51-1,0),MATCH(L$4,'Baseline NFPC'!$D$10:$W$10,0))</f>
        <v>2.3507829999999998</v>
      </c>
      <c r="M51" s="276">
        <f ca="1">INDEX(OFFSET('Baseline NFPC'!$D$1:$W$1,$D51-1,0),MATCH(M$4,'Baseline NFPC'!$D$10:$W$10,0))</f>
        <v>2.4005872500000001</v>
      </c>
      <c r="N51" s="276">
        <f ca="1">INDEX(OFFSET('Baseline NFPC'!$D$1:$W$1,$D51-1,0),MATCH(N$4,'Baseline NFPC'!$D$10:$W$10,0))</f>
        <v>2.4503914999999998</v>
      </c>
      <c r="O51" s="276">
        <f ca="1">INDEX(OFFSET('Baseline NFPC'!$D$1:$W$1,$D51-1,0),MATCH(O$4,'Baseline NFPC'!$D$10:$W$10,0))</f>
        <v>2.5001957499999996</v>
      </c>
      <c r="P51" s="276">
        <f ca="1">INDEX(OFFSET('Baseline NFPC'!$D$1:$W$1,$D51-1,0),MATCH(P$4,'Baseline NFPC'!$D$10:$W$10,0))</f>
        <v>2.5499999999999998</v>
      </c>
      <c r="Q51" s="276">
        <f ca="1">INDEX(OFFSET('Baseline NFPC'!$D$1:$W$1,$D51-1,0),MATCH(Q$4,'Baseline NFPC'!$D$10:$W$10,0))</f>
        <v>2.5225</v>
      </c>
      <c r="R51" s="276">
        <f ca="1">INDEX(OFFSET('Baseline NFPC'!$D$1:$W$1,$D51-1,0),MATCH(R$4,'Baseline NFPC'!$D$10:$W$10,0))</f>
        <v>2.4949999999999997</v>
      </c>
      <c r="S51" s="276">
        <f ca="1">INDEX(OFFSET('Baseline NFPC'!$D$1:$W$1,$D51-1,0),MATCH(S$4,'Baseline NFPC'!$D$10:$W$10,0))</f>
        <v>2.4674999999999998</v>
      </c>
      <c r="T51" s="276">
        <f ca="1">INDEX(OFFSET('Baseline NFPC'!$D$1:$W$1,$D51-1,0),MATCH(T$4,'Baseline NFPC'!$D$10:$W$10,0))</f>
        <v>2.44</v>
      </c>
      <c r="U51" s="276">
        <f ca="1">INDEX(OFFSET('Baseline NFPC'!$D$1:$W$1,$D51-1,0),MATCH(U$4,'Baseline NFPC'!$D$10:$W$10,0))</f>
        <v>2.4124999999999996</v>
      </c>
      <c r="V51" s="276">
        <f ca="1">INDEX(OFFSET('Baseline NFPC'!$D$1:$W$1,$D51-1,0),MATCH(V$4,'Baseline NFPC'!$D$10:$W$10,0))</f>
        <v>2.3849999999999998</v>
      </c>
      <c r="W51" s="276">
        <f ca="1">INDEX(OFFSET('Baseline NFPC'!$D$1:$W$1,$D51-1,0),MATCH(W$4,'Baseline NFPC'!$D$10:$W$10,0))</f>
        <v>2.3574999999999999</v>
      </c>
      <c r="X51" s="276">
        <f ca="1">INDEX(OFFSET('Baseline NFPC'!$D$1:$W$1,$D51-1,0),MATCH(X$4,'Baseline NFPC'!$D$10:$W$10,0))</f>
        <v>2.33</v>
      </c>
      <c r="Y51" s="192"/>
    </row>
    <row r="52" spans="1:25" x14ac:dyDescent="0.2">
      <c r="A52" s="192"/>
      <c r="B52" s="283">
        <v>12</v>
      </c>
      <c r="C52" s="279" t="s">
        <v>165</v>
      </c>
      <c r="D52" s="288">
        <v>32</v>
      </c>
      <c r="E52" s="289" t="s">
        <v>162</v>
      </c>
      <c r="F52" s="276">
        <f ca="1">INDEX(OFFSET('Baseline NFPC'!$D$1:$W$1,$D52-1,0),MATCH(F$4,'Baseline NFPC'!$D$10:$W$10,0))</f>
        <v>11.844406927856244</v>
      </c>
      <c r="G52" s="276">
        <f ca="1">INDEX(OFFSET('Baseline NFPC'!$D$1:$W$1,$D52-1,0),MATCH(G$4,'Baseline NFPC'!$D$10:$W$10,0))</f>
        <v>9.0098037410534904</v>
      </c>
      <c r="H52" s="276">
        <f ca="1">INDEX(OFFSET('Baseline NFPC'!$D$1:$W$1,$D52-1,0),MATCH(H$4,'Baseline NFPC'!$D$10:$W$10,0))</f>
        <v>5.1778173794222448</v>
      </c>
      <c r="I52" s="276">
        <f ca="1">INDEX(OFFSET('Baseline NFPC'!$D$1:$W$1,$D52-1,0),MATCH(I$4,'Baseline NFPC'!$D$10:$W$10,0))</f>
        <v>4.2988540817092691</v>
      </c>
      <c r="J52" s="276">
        <f ca="1">INDEX(OFFSET('Baseline NFPC'!$D$1:$W$1,$D52-1,0),MATCH(J$4,'Baseline NFPC'!$D$10:$W$10,0))</f>
        <v>3.7325496381979573</v>
      </c>
      <c r="K52" s="276">
        <f ca="1">INDEX(OFFSET('Baseline NFPC'!$D$1:$W$1,$D52-1,0),MATCH(K$4,'Baseline NFPC'!$D$10:$W$10,0))</f>
        <v>4.0258970359092983</v>
      </c>
      <c r="L52" s="276">
        <f ca="1">INDEX(OFFSET('Baseline NFPC'!$D$1:$W$1,$D52-1,0),MATCH(L$4,'Baseline NFPC'!$D$10:$W$10,0))</f>
        <v>4.4382988648330901</v>
      </c>
      <c r="M52" s="276">
        <f ca="1">INDEX(OFFSET('Baseline NFPC'!$D$1:$W$1,$D52-1,0),MATCH(M$4,'Baseline NFPC'!$D$10:$W$10,0))</f>
        <v>4.3613608627041112</v>
      </c>
      <c r="N52" s="276">
        <f ca="1">INDEX(OFFSET('Baseline NFPC'!$D$1:$W$1,$D52-1,0),MATCH(N$4,'Baseline NFPC'!$D$10:$W$10,0))</f>
        <v>4.2766916444533898</v>
      </c>
      <c r="O52" s="276">
        <f ca="1">INDEX(OFFSET('Baseline NFPC'!$D$1:$W$1,$D52-1,0),MATCH(O$4,'Baseline NFPC'!$D$10:$W$10,0))</f>
        <v>4.2394364965192777</v>
      </c>
      <c r="P52" s="276">
        <f ca="1">INDEX(OFFSET('Baseline NFPC'!$D$1:$W$1,$D52-1,0),MATCH(P$4,'Baseline NFPC'!$D$10:$W$10,0))</f>
        <v>4.2188094815000188</v>
      </c>
      <c r="Q52" s="276">
        <f ca="1">INDEX(OFFSET('Baseline NFPC'!$D$1:$W$1,$D52-1,0),MATCH(Q$4,'Baseline NFPC'!$D$10:$W$10,0))</f>
        <v>4.1341362711750262</v>
      </c>
      <c r="R52" s="276">
        <f ca="1">INDEX(OFFSET('Baseline NFPC'!$D$1:$W$1,$D52-1,0),MATCH(R$4,'Baseline NFPC'!$D$10:$W$10,0))</f>
        <v>4.0495027169000108</v>
      </c>
      <c r="S52" s="276">
        <f ca="1">INDEX(OFFSET('Baseline NFPC'!$D$1:$W$1,$D52-1,0),MATCH(S$4,'Baseline NFPC'!$D$10:$W$10,0))</f>
        <v>3.9648934411250059</v>
      </c>
      <c r="T52" s="276">
        <f ca="1">INDEX(OFFSET('Baseline NFPC'!$D$1:$W$1,$D52-1,0),MATCH(T$4,'Baseline NFPC'!$D$10:$W$10,0))</f>
        <v>4.0125461959999997</v>
      </c>
      <c r="U52" s="276">
        <f ca="1">INDEX(OFFSET('Baseline NFPC'!$D$1:$W$1,$D52-1,0),MATCH(U$4,'Baseline NFPC'!$D$10:$W$10,0))</f>
        <v>4.0145807266249944</v>
      </c>
      <c r="V52" s="276">
        <f ca="1">INDEX(OFFSET('Baseline NFPC'!$D$1:$W$1,$D52-1,0),MATCH(V$4,'Baseline NFPC'!$D$10:$W$10,0))</f>
        <v>4.0475931563999978</v>
      </c>
      <c r="W52" s="276">
        <f ca="1">INDEX(OFFSET('Baseline NFPC'!$D$1:$W$1,$D52-1,0),MATCH(W$4,'Baseline NFPC'!$D$10:$W$10,0))</f>
        <v>4.0727895842249895</v>
      </c>
      <c r="X52" s="276">
        <f ca="1">INDEX(OFFSET('Baseline NFPC'!$D$1:$W$1,$D52-1,0),MATCH(X$4,'Baseline NFPC'!$D$10:$W$10,0))</f>
        <v>4.0329103688000023</v>
      </c>
      <c r="Y52" s="192"/>
    </row>
    <row r="53" spans="1:25" x14ac:dyDescent="0.2">
      <c r="A53" s="192"/>
      <c r="B53" s="283">
        <v>13</v>
      </c>
      <c r="C53" s="279" t="s">
        <v>46</v>
      </c>
      <c r="D53" s="278"/>
      <c r="E53" s="289" t="s">
        <v>159</v>
      </c>
      <c r="F53" s="295">
        <f>'Input data'!$C$49</f>
        <v>0.75</v>
      </c>
      <c r="G53" s="192"/>
      <c r="H53" s="192"/>
      <c r="I53" s="192"/>
      <c r="J53" s="192"/>
      <c r="K53" s="192"/>
      <c r="L53" s="192"/>
      <c r="M53" s="192"/>
      <c r="N53" s="192"/>
      <c r="O53" s="192"/>
      <c r="P53" s="192"/>
      <c r="Q53" s="192"/>
      <c r="R53" s="192"/>
      <c r="S53" s="192"/>
      <c r="T53" s="192"/>
      <c r="U53" s="192"/>
      <c r="V53" s="192"/>
      <c r="W53" s="192"/>
      <c r="X53" s="192"/>
      <c r="Y53" s="192"/>
    </row>
    <row r="54" spans="1:25" x14ac:dyDescent="0.2">
      <c r="A54" s="192"/>
      <c r="B54" s="277"/>
      <c r="C54" s="298"/>
      <c r="D54" s="298"/>
      <c r="E54" s="298"/>
      <c r="F54" s="298"/>
      <c r="G54" s="298"/>
      <c r="H54" s="298"/>
      <c r="I54" s="298"/>
      <c r="J54" s="298"/>
      <c r="K54" s="192"/>
      <c r="L54" s="192"/>
      <c r="M54" s="192"/>
      <c r="N54" s="192"/>
      <c r="O54" s="192"/>
      <c r="P54" s="192"/>
      <c r="Q54" s="192"/>
      <c r="R54" s="192"/>
      <c r="S54" s="192"/>
      <c r="T54" s="192"/>
      <c r="U54" s="192"/>
      <c r="V54" s="192"/>
      <c r="W54" s="192"/>
      <c r="X54" s="192"/>
      <c r="Y54" s="192"/>
    </row>
    <row r="55" spans="1:25" x14ac:dyDescent="0.2">
      <c r="A55" s="192"/>
      <c r="B55" s="299"/>
      <c r="C55" s="281" t="s">
        <v>171</v>
      </c>
      <c r="D55" s="282"/>
      <c r="E55" s="282"/>
      <c r="F55" s="282"/>
      <c r="G55" s="298"/>
      <c r="H55" s="298"/>
      <c r="I55" s="298"/>
      <c r="J55" s="298"/>
      <c r="K55" s="192"/>
      <c r="L55" s="192"/>
      <c r="M55" s="192"/>
      <c r="N55" s="192"/>
      <c r="O55" s="192"/>
      <c r="P55" s="192"/>
      <c r="Q55" s="192"/>
      <c r="R55" s="192"/>
      <c r="S55" s="192"/>
      <c r="T55" s="192"/>
      <c r="U55" s="192"/>
      <c r="V55" s="192"/>
      <c r="W55" s="192"/>
      <c r="X55" s="192"/>
      <c r="Y55" s="192"/>
    </row>
    <row r="56" spans="1:25" x14ac:dyDescent="0.2">
      <c r="A56" s="192"/>
      <c r="B56" s="277"/>
      <c r="C56" s="298"/>
      <c r="D56" s="298"/>
      <c r="E56" s="298"/>
      <c r="F56" s="298"/>
      <c r="G56" s="298"/>
      <c r="H56" s="298"/>
      <c r="I56" s="298"/>
      <c r="J56" s="298"/>
      <c r="K56" s="192"/>
      <c r="L56" s="192"/>
      <c r="M56" s="192"/>
      <c r="N56" s="192"/>
      <c r="O56" s="192"/>
      <c r="P56" s="192"/>
      <c r="Q56" s="192"/>
      <c r="R56" s="192"/>
      <c r="S56" s="192"/>
      <c r="T56" s="192"/>
      <c r="U56" s="192"/>
      <c r="V56" s="192"/>
      <c r="W56" s="192"/>
      <c r="X56" s="192"/>
      <c r="Y56" s="192"/>
    </row>
    <row r="57" spans="1:25" x14ac:dyDescent="0.2">
      <c r="A57" s="192"/>
      <c r="B57" s="283"/>
      <c r="C57" s="281"/>
      <c r="D57" s="281"/>
      <c r="E57" s="286"/>
      <c r="F57" s="286">
        <f>'Input data'!$C$5-1</f>
        <v>2023</v>
      </c>
      <c r="G57" s="286">
        <f>F57+1</f>
        <v>2024</v>
      </c>
      <c r="H57" s="286">
        <f t="shared" ref="H57:X57" si="2">G57+1</f>
        <v>2025</v>
      </c>
      <c r="I57" s="286">
        <f t="shared" si="2"/>
        <v>2026</v>
      </c>
      <c r="J57" s="286">
        <f t="shared" si="2"/>
        <v>2027</v>
      </c>
      <c r="K57" s="286">
        <f t="shared" si="2"/>
        <v>2028</v>
      </c>
      <c r="L57" s="286">
        <f t="shared" si="2"/>
        <v>2029</v>
      </c>
      <c r="M57" s="286">
        <f t="shared" si="2"/>
        <v>2030</v>
      </c>
      <c r="N57" s="286">
        <f t="shared" si="2"/>
        <v>2031</v>
      </c>
      <c r="O57" s="286">
        <f t="shared" si="2"/>
        <v>2032</v>
      </c>
      <c r="P57" s="286">
        <f t="shared" si="2"/>
        <v>2033</v>
      </c>
      <c r="Q57" s="286">
        <f t="shared" si="2"/>
        <v>2034</v>
      </c>
      <c r="R57" s="286">
        <f t="shared" si="2"/>
        <v>2035</v>
      </c>
      <c r="S57" s="286">
        <f t="shared" si="2"/>
        <v>2036</v>
      </c>
      <c r="T57" s="286">
        <f t="shared" si="2"/>
        <v>2037</v>
      </c>
      <c r="U57" s="286">
        <f t="shared" si="2"/>
        <v>2038</v>
      </c>
      <c r="V57" s="286">
        <f t="shared" si="2"/>
        <v>2039</v>
      </c>
      <c r="W57" s="286">
        <f t="shared" si="2"/>
        <v>2040</v>
      </c>
      <c r="X57" s="286">
        <f t="shared" si="2"/>
        <v>2041</v>
      </c>
      <c r="Y57" s="192"/>
    </row>
    <row r="58" spans="1:25" x14ac:dyDescent="0.2">
      <c r="A58" s="192"/>
      <c r="B58" s="283">
        <v>1</v>
      </c>
      <c r="C58" s="287" t="s">
        <v>152</v>
      </c>
      <c r="D58" s="288">
        <v>90</v>
      </c>
      <c r="E58" s="289" t="s">
        <v>153</v>
      </c>
      <c r="F58" s="276">
        <f ca="1">INDEX(OFFSET('Adjustment scenario'!$D$1:$W$1,$D58-1,0),MATCH(F$4,'Adjustment scenario'!$D$10:$W$10,0))</f>
        <v>63.018538203782732</v>
      </c>
      <c r="G58" s="276">
        <f ca="1">INDEX(OFFSET('Adjustment scenario'!$D$1:$W$1,$D58-1,0),MATCH(G$4,'Adjustment scenario'!$D$10:$W$10,0))</f>
        <v>59.525230422292623</v>
      </c>
      <c r="H58" s="276">
        <f ca="1">INDEX(OFFSET('Adjustment scenario'!$D$1:$W$1,$D58-1,0),MATCH(H$4,'Adjustment scenario'!$D$10:$W$10,0))</f>
        <v>59.21016430222484</v>
      </c>
      <c r="I58" s="276">
        <f ca="1">INDEX(OFFSET('Adjustment scenario'!$D$1:$W$1,$D58-1,0),MATCH(I$4,'Adjustment scenario'!$D$10:$W$10,0))</f>
        <v>59.350927631530439</v>
      </c>
      <c r="J58" s="276">
        <f ca="1">INDEX(OFFSET('Adjustment scenario'!$D$1:$W$1,$D58-1,0),MATCH(J$4,'Adjustment scenario'!$D$10:$W$10,0))</f>
        <v>59.425424132668397</v>
      </c>
      <c r="K58" s="276">
        <f ca="1">INDEX(OFFSET('Adjustment scenario'!$D$1:$W$1,$D58-1,0),MATCH(K$4,'Adjustment scenario'!$D$10:$W$10,0))</f>
        <v>59.294133442385821</v>
      </c>
      <c r="L58" s="276">
        <f ca="1">INDEX(OFFSET('Adjustment scenario'!$D$1:$W$1,$D58-1,0),MATCH(L$4,'Adjustment scenario'!$D$10:$W$10,0))</f>
        <v>58.967688182233665</v>
      </c>
      <c r="M58" s="276">
        <f ca="1">INDEX(OFFSET('Adjustment scenario'!$D$1:$W$1,$D58-1,0),MATCH(M$4,'Adjustment scenario'!$D$10:$W$10,0))</f>
        <v>58.710686905649823</v>
      </c>
      <c r="N58" s="276">
        <f ca="1">INDEX(OFFSET('Adjustment scenario'!$D$1:$W$1,$D58-1,0),MATCH(N$4,'Adjustment scenario'!$D$10:$W$10,0))</f>
        <v>58.523236024671554</v>
      </c>
      <c r="O58" s="276">
        <f ca="1">INDEX(OFFSET('Adjustment scenario'!$D$1:$W$1,$D58-1,0),MATCH(O$4,'Adjustment scenario'!$D$10:$W$10,0))</f>
        <v>58.408140716263766</v>
      </c>
      <c r="P58" s="276">
        <f ca="1">INDEX(OFFSET('Adjustment scenario'!$D$1:$W$1,$D58-1,0),MATCH(P$4,'Adjustment scenario'!$D$10:$W$10,0))</f>
        <v>58.316250887170625</v>
      </c>
      <c r="Q58" s="276">
        <f ca="1">INDEX(OFFSET('Adjustment scenario'!$D$1:$W$1,$D58-1,0),MATCH(Q$4,'Adjustment scenario'!$D$10:$W$10,0))</f>
        <v>58.282171337336585</v>
      </c>
      <c r="R58" s="276">
        <f ca="1">INDEX(OFFSET('Adjustment scenario'!$D$1:$W$1,$D58-1,0),MATCH(R$4,'Adjustment scenario'!$D$10:$W$10,0))</f>
        <v>58.311417237106355</v>
      </c>
      <c r="S58" s="276">
        <f ca="1">INDEX(OFFSET('Adjustment scenario'!$D$1:$W$1,$D58-1,0),MATCH(S$4,'Adjustment scenario'!$D$10:$W$10,0))</f>
        <v>58.393199409347922</v>
      </c>
      <c r="T58" s="276">
        <f ca="1">INDEX(OFFSET('Adjustment scenario'!$D$1:$W$1,$D58-1,0),MATCH(T$4,'Adjustment scenario'!$D$10:$W$10,0))</f>
        <v>58.42002554934686</v>
      </c>
      <c r="U58" s="276">
        <f ca="1">INDEX(OFFSET('Adjustment scenario'!$D$1:$W$1,$D58-1,0),MATCH(U$4,'Adjustment scenario'!$D$10:$W$10,0))</f>
        <v>58.404732075670815</v>
      </c>
      <c r="V58" s="276">
        <f ca="1">INDEX(OFFSET('Adjustment scenario'!$D$1:$W$1,$D58-1,0),MATCH(V$4,'Adjustment scenario'!$D$10:$W$10,0))</f>
        <v>58.314511877329018</v>
      </c>
      <c r="W58" s="276">
        <f ca="1">INDEX(OFFSET('Adjustment scenario'!$D$1:$W$1,$D58-1,0),MATCH(W$4,'Adjustment scenario'!$D$10:$W$10,0))</f>
        <v>58.149101712454623</v>
      </c>
      <c r="X58" s="276">
        <f ca="1">INDEX(OFFSET('Adjustment scenario'!$D$1:$W$1,$D58-1,0),MATCH(X$4,'Adjustment scenario'!$D$10:$W$10,0))</f>
        <v>57.946544932979371</v>
      </c>
      <c r="Y58" s="192"/>
    </row>
    <row r="59" spans="1:25" x14ac:dyDescent="0.2">
      <c r="A59" s="192"/>
      <c r="B59" s="283">
        <f>B58+1</f>
        <v>2</v>
      </c>
      <c r="C59" s="290" t="s">
        <v>100</v>
      </c>
      <c r="D59" s="288">
        <v>92</v>
      </c>
      <c r="E59" s="289" t="s">
        <v>153</v>
      </c>
      <c r="F59" s="276">
        <f ca="1">INDEX(OFFSET('Adjustment scenario'!$D$1:$W$1,$D59-1,0),MATCH(F$4,'Adjustment scenario'!$D$10:$W$10,0))</f>
        <v>5.8659240545129414</v>
      </c>
      <c r="G59" s="276">
        <f ca="1">INDEX(OFFSET('Adjustment scenario'!$D$1:$W$1,$D59-1,0),MATCH(G$4,'Adjustment scenario'!$D$10:$W$10,0))</f>
        <v>5.4441538848406834</v>
      </c>
      <c r="H59" s="276">
        <f ca="1">INDEX(OFFSET('Adjustment scenario'!$D$1:$W$1,$D59-1,0),MATCH(H$4,'Adjustment scenario'!$D$10:$W$10,0))</f>
        <v>5.3874929541105185</v>
      </c>
      <c r="I59" s="276">
        <f ca="1">INDEX(OFFSET('Adjustment scenario'!$D$1:$W$1,$D59-1,0),MATCH(I$4,'Adjustment scenario'!$D$10:$W$10,0))</f>
        <v>5.4371679045921519</v>
      </c>
      <c r="J59" s="276">
        <f ca="1">INDEX(OFFSET('Adjustment scenario'!$D$1:$W$1,$D59-1,0),MATCH(J$4,'Adjustment scenario'!$D$10:$W$10,0))</f>
        <v>5.5104718719873178</v>
      </c>
      <c r="K59" s="276">
        <f ca="1">INDEX(OFFSET('Adjustment scenario'!$D$1:$W$1,$D59-1,0),MATCH(K$4,'Adjustment scenario'!$D$10:$W$10,0))</f>
        <v>5.5725154111011932</v>
      </c>
      <c r="L59" s="276">
        <f ca="1">INDEX(OFFSET('Adjustment scenario'!$D$1:$W$1,$D59-1,0),MATCH(L$4,'Adjustment scenario'!$D$10:$W$10,0))</f>
        <v>5.5962389312518006</v>
      </c>
      <c r="M59" s="276">
        <f ca="1">INDEX(OFFSET('Adjustment scenario'!$D$1:$W$1,$D59-1,0),MATCH(M$4,'Adjustment scenario'!$D$10:$W$10,0))</f>
        <v>5.6267707992872529</v>
      </c>
      <c r="N59" s="276">
        <f ca="1">INDEX(OFFSET('Adjustment scenario'!$D$1:$W$1,$D59-1,0),MATCH(N$4,'Adjustment scenario'!$D$10:$W$10,0))</f>
        <v>5.6638467518909339</v>
      </c>
      <c r="O59" s="276">
        <f ca="1">INDEX(OFFSET('Adjustment scenario'!$D$1:$W$1,$D59-1,0),MATCH(O$4,'Adjustment scenario'!$D$10:$W$10,0))</f>
        <v>5.7073730980304997</v>
      </c>
      <c r="P59" s="276">
        <f ca="1">INDEX(OFFSET('Adjustment scenario'!$D$1:$W$1,$D59-1,0),MATCH(P$4,'Adjustment scenario'!$D$10:$W$10,0))</f>
        <v>5.7541250447390251</v>
      </c>
      <c r="Q59" s="276">
        <f ca="1">INDEX(OFFSET('Adjustment scenario'!$D$1:$W$1,$D59-1,0),MATCH(Q$4,'Adjustment scenario'!$D$10:$W$10,0))</f>
        <v>5.7477952651174542</v>
      </c>
      <c r="R59" s="276">
        <f ca="1">INDEX(OFFSET('Adjustment scenario'!$D$1:$W$1,$D59-1,0),MATCH(R$4,'Adjustment scenario'!$D$10:$W$10,0))</f>
        <v>5.74722753738265</v>
      </c>
      <c r="S59" s="276">
        <f ca="1">INDEX(OFFSET('Adjustment scenario'!$D$1:$W$1,$D59-1,0),MATCH(S$4,'Adjustment scenario'!$D$10:$W$10,0))</f>
        <v>5.7529689187638686</v>
      </c>
      <c r="T59" s="276">
        <f ca="1">INDEX(OFFSET('Adjustment scenario'!$D$1:$W$1,$D59-1,0),MATCH(T$4,'Adjustment scenario'!$D$10:$W$10,0))</f>
        <v>5.7566424108256093</v>
      </c>
      <c r="U59" s="276">
        <f ca="1">INDEX(OFFSET('Adjustment scenario'!$D$1:$W$1,$D59-1,0),MATCH(U$4,'Adjustment scenario'!$D$10:$W$10,0))</f>
        <v>5.7575071381122616</v>
      </c>
      <c r="V59" s="276">
        <f ca="1">INDEX(OFFSET('Adjustment scenario'!$D$1:$W$1,$D59-1,0),MATCH(V$4,'Adjustment scenario'!$D$10:$W$10,0))</f>
        <v>5.752600042047697</v>
      </c>
      <c r="W59" s="276">
        <f ca="1">INDEX(OFFSET('Adjustment scenario'!$D$1:$W$1,$D59-1,0),MATCH(W$4,'Adjustment scenario'!$D$10:$W$10,0))</f>
        <v>5.7408492800563087</v>
      </c>
      <c r="X59" s="276">
        <f ca="1">INDEX(OFFSET('Adjustment scenario'!$D$1:$W$1,$D59-1,0),MATCH(X$4,'Adjustment scenario'!$D$10:$W$10,0))</f>
        <v>5.7253827328981162</v>
      </c>
      <c r="Y59" s="192"/>
    </row>
    <row r="60" spans="1:25" x14ac:dyDescent="0.2">
      <c r="A60" s="192"/>
      <c r="B60" s="283">
        <f t="shared" ref="B60:B62" si="3">B59+1</f>
        <v>3</v>
      </c>
      <c r="C60" s="290" t="s">
        <v>101</v>
      </c>
      <c r="D60" s="288">
        <v>93</v>
      </c>
      <c r="E60" s="289" t="s">
        <v>153</v>
      </c>
      <c r="F60" s="276">
        <f ca="1">INDEX(OFFSET('Adjustment scenario'!$D$1:$W$1,$D60-1,0),MATCH(F$4,'Adjustment scenario'!$D$10:$W$10,0))</f>
        <v>2.0225542888393648</v>
      </c>
      <c r="G60" s="276">
        <f ca="1">INDEX(OFFSET('Adjustment scenario'!$D$1:$W$1,$D60-1,0),MATCH(G$4,'Adjustment scenario'!$D$10:$W$10,0))</f>
        <v>2.0236605928890654</v>
      </c>
      <c r="H60" s="276">
        <f ca="1">INDEX(OFFSET('Adjustment scenario'!$D$1:$W$1,$D60-1,0),MATCH(H$4,'Adjustment scenario'!$D$10:$W$10,0))</f>
        <v>1.9957510477398974</v>
      </c>
      <c r="I60" s="276">
        <f ca="1">INDEX(OFFSET('Adjustment scenario'!$D$1:$W$1,$D60-1,0),MATCH(I$4,'Adjustment scenario'!$D$10:$W$10,0))</f>
        <v>2.0176076570472063</v>
      </c>
      <c r="J60" s="276">
        <f ca="1">INDEX(OFFSET('Adjustment scenario'!$D$1:$W$1,$D60-1,0),MATCH(J$4,'Adjustment scenario'!$D$10:$W$10,0))</f>
        <v>2.0496778225412604</v>
      </c>
      <c r="K60" s="276">
        <f ca="1">INDEX(OFFSET('Adjustment scenario'!$D$1:$W$1,$D60-1,0),MATCH(K$4,'Adjustment scenario'!$D$10:$W$10,0))</f>
        <v>2.0754710053617713</v>
      </c>
      <c r="L60" s="276">
        <f ca="1">INDEX(OFFSET('Adjustment scenario'!$D$1:$W$1,$D60-1,0),MATCH(L$4,'Adjustment scenario'!$D$10:$W$10,0))</f>
        <v>2.0842691033671996</v>
      </c>
      <c r="M60" s="276">
        <f ca="1">INDEX(OFFSET('Adjustment scenario'!$D$1:$W$1,$D60-1,0),MATCH(M$4,'Adjustment scenario'!$D$10:$W$10,0))</f>
        <v>2.0951098642562211</v>
      </c>
      <c r="N60" s="276">
        <f ca="1">INDEX(OFFSET('Adjustment scenario'!$D$1:$W$1,$D60-1,0),MATCH(N$4,'Adjustment scenario'!$D$10:$W$10,0))</f>
        <v>2.1078183255887701</v>
      </c>
      <c r="O60" s="276">
        <f ca="1">INDEX(OFFSET('Adjustment scenario'!$D$1:$W$1,$D60-1,0),MATCH(O$4,'Adjustment scenario'!$D$10:$W$10,0))</f>
        <v>2.1223371796494024</v>
      </c>
      <c r="P60" s="276">
        <f ca="1">INDEX(OFFSET('Adjustment scenario'!$D$1:$W$1,$D60-1,0),MATCH(P$4,'Adjustment scenario'!$D$10:$W$10,0))</f>
        <v>2.1374964404585395</v>
      </c>
      <c r="Q60" s="276">
        <f ca="1">INDEX(OFFSET('Adjustment scenario'!$D$1:$W$1,$D60-1,0),MATCH(Q$4,'Adjustment scenario'!$D$10:$W$10,0))</f>
        <v>2.1541239272857355</v>
      </c>
      <c r="R60" s="276">
        <f ca="1">INDEX(OFFSET('Adjustment scenario'!$D$1:$W$1,$D60-1,0),MATCH(R$4,'Adjustment scenario'!$D$10:$W$10,0))</f>
        <v>2.1722404715942472</v>
      </c>
      <c r="S60" s="276">
        <f ca="1">INDEX(OFFSET('Adjustment scenario'!$D$1:$W$1,$D60-1,0),MATCH(S$4,'Adjustment scenario'!$D$10:$W$10,0))</f>
        <v>2.1921696732992673</v>
      </c>
      <c r="T60" s="276">
        <f ca="1">INDEX(OFFSET('Adjustment scenario'!$D$1:$W$1,$D60-1,0),MATCH(T$4,'Adjustment scenario'!$D$10:$W$10,0))</f>
        <v>2.2106863676505917</v>
      </c>
      <c r="U60" s="276">
        <f ca="1">INDEX(OFFSET('Adjustment scenario'!$D$1:$W$1,$D60-1,0),MATCH(U$4,'Adjustment scenario'!$D$10:$W$10,0))</f>
        <v>2.2272779965289753</v>
      </c>
      <c r="V60" s="276">
        <f ca="1">INDEX(OFFSET('Adjustment scenario'!$D$1:$W$1,$D60-1,0),MATCH(V$4,'Adjustment scenario'!$D$10:$W$10,0))</f>
        <v>2.2407303021093292</v>
      </c>
      <c r="W60" s="276">
        <f ca="1">INDEX(OFFSET('Adjustment scenario'!$D$1:$W$1,$D60-1,0),MATCH(W$4,'Adjustment scenario'!$D$10:$W$10,0))</f>
        <v>2.2505352873352384</v>
      </c>
      <c r="X60" s="276">
        <f ca="1">INDEX(OFFSET('Adjustment scenario'!$D$1:$W$1,$D60-1,0),MATCH(X$4,'Adjustment scenario'!$D$10:$W$10,0))</f>
        <v>2.2579113996531879</v>
      </c>
      <c r="Y60" s="192"/>
    </row>
    <row r="61" spans="1:25" x14ac:dyDescent="0.2">
      <c r="A61" s="192"/>
      <c r="B61" s="283">
        <f t="shared" si="3"/>
        <v>4</v>
      </c>
      <c r="C61" s="290" t="s">
        <v>102</v>
      </c>
      <c r="D61" s="288">
        <v>94</v>
      </c>
      <c r="E61" s="289" t="s">
        <v>153</v>
      </c>
      <c r="F61" s="276">
        <f ca="1">INDEX(OFFSET('Adjustment scenario'!$D$1:$W$1,$D61-1,0),MATCH(F$4,'Adjustment scenario'!$D$10:$W$10,0))</f>
        <v>3.4607077471142449</v>
      </c>
      <c r="G61" s="276">
        <f ca="1">INDEX(OFFSET('Adjustment scenario'!$D$1:$W$1,$D61-1,0),MATCH(G$4,'Adjustment scenario'!$D$10:$W$10,0))</f>
        <v>1.2671123066965087</v>
      </c>
      <c r="H61" s="276">
        <f ca="1">INDEX(OFFSET('Adjustment scenario'!$D$1:$W$1,$D61-1,0),MATCH(H$4,'Adjustment scenario'!$D$10:$W$10,0))</f>
        <v>2.1411086365582772</v>
      </c>
      <c r="I61" s="276">
        <f ca="1">INDEX(OFFSET('Adjustment scenario'!$D$1:$W$1,$D61-1,0),MATCH(I$4,'Adjustment scenario'!$D$10:$W$10,0))</f>
        <v>2.35389745587428</v>
      </c>
      <c r="J61" s="276">
        <f ca="1">INDEX(OFFSET('Adjustment scenario'!$D$1:$W$1,$D61-1,0),MATCH(J$4,'Adjustment scenario'!$D$10:$W$10,0))</f>
        <v>2.2667292347997692</v>
      </c>
      <c r="K61" s="276">
        <f ca="1">INDEX(OFFSET('Adjustment scenario'!$D$1:$W$1,$D61-1,0),MATCH(K$4,'Adjustment scenario'!$D$10:$W$10,0))</f>
        <v>2.0980856547876843</v>
      </c>
      <c r="L61" s="276">
        <f ca="1">INDEX(OFFSET('Adjustment scenario'!$D$1:$W$1,$D61-1,0),MATCH(L$4,'Adjustment scenario'!$D$10:$W$10,0))</f>
        <v>2.1168679547518154</v>
      </c>
      <c r="M61" s="276">
        <f ca="1">INDEX(OFFSET('Adjustment scenario'!$D$1:$W$1,$D61-1,0),MATCH(M$4,'Adjustment scenario'!$D$10:$W$10,0))</f>
        <v>2.1300343556548782</v>
      </c>
      <c r="N61" s="276">
        <f ca="1">INDEX(OFFSET('Adjustment scenario'!$D$1:$W$1,$D61-1,0),MATCH(N$4,'Adjustment scenario'!$D$10:$W$10,0))</f>
        <v>2.1424518369085734</v>
      </c>
      <c r="O61" s="276">
        <f ca="1">INDEX(OFFSET('Adjustment scenario'!$D$1:$W$1,$D61-1,0),MATCH(O$4,'Adjustment scenario'!$D$10:$W$10,0))</f>
        <v>2.1597189879991836</v>
      </c>
      <c r="P61" s="276">
        <f ca="1">INDEX(OFFSET('Adjustment scenario'!$D$1:$W$1,$D61-1,0),MATCH(P$4,'Adjustment scenario'!$D$10:$W$10,0))</f>
        <v>2.1668077769716594</v>
      </c>
      <c r="Q61" s="276">
        <f ca="1">INDEX(OFFSET('Adjustment scenario'!$D$1:$W$1,$D61-1,0),MATCH(Q$4,'Adjustment scenario'!$D$10:$W$10,0))</f>
        <v>2.1750003235610817</v>
      </c>
      <c r="R61" s="276">
        <f ca="1">INDEX(OFFSET('Adjustment scenario'!$D$1:$W$1,$D61-1,0),MATCH(R$4,'Adjustment scenario'!$D$10:$W$10,0))</f>
        <v>2.1906834003344828</v>
      </c>
      <c r="S61" s="276">
        <f ca="1">INDEX(OFFSET('Adjustment scenario'!$D$1:$W$1,$D61-1,0),MATCH(S$4,'Adjustment scenario'!$D$10:$W$10,0))</f>
        <v>2.1983743795353892</v>
      </c>
      <c r="T61" s="276">
        <f ca="1">INDEX(OFFSET('Adjustment scenario'!$D$1:$W$1,$D61-1,0),MATCH(T$4,'Adjustment scenario'!$D$10:$W$10,0))</f>
        <v>2.1734835205119092</v>
      </c>
      <c r="U61" s="276">
        <f ca="1">INDEX(OFFSET('Adjustment scenario'!$D$1:$W$1,$D61-1,0),MATCH(U$4,'Adjustment scenario'!$D$10:$W$10,0))</f>
        <v>2.1353569591945813</v>
      </c>
      <c r="V61" s="276">
        <f ca="1">INDEX(OFFSET('Adjustment scenario'!$D$1:$W$1,$D61-1,0),MATCH(V$4,'Adjustment scenario'!$D$10:$W$10,0))</f>
        <v>2.0803389138264285</v>
      </c>
      <c r="W61" s="276">
        <f ca="1">INDEX(OFFSET('Adjustment scenario'!$D$1:$W$1,$D61-1,0),MATCH(W$4,'Adjustment scenario'!$D$10:$W$10,0))</f>
        <v>2.0182371098095659</v>
      </c>
      <c r="X61" s="276">
        <f ca="1">INDEX(OFFSET('Adjustment scenario'!$D$1:$W$1,$D61-1,0),MATCH(X$4,'Adjustment scenario'!$D$10:$W$10,0))</f>
        <v>1.9562237717831972</v>
      </c>
      <c r="Y61" s="192"/>
    </row>
    <row r="62" spans="1:25" x14ac:dyDescent="0.2">
      <c r="A62" s="192"/>
      <c r="B62" s="283">
        <f t="shared" si="3"/>
        <v>5</v>
      </c>
      <c r="C62" s="290" t="s">
        <v>103</v>
      </c>
      <c r="D62" s="288">
        <v>95</v>
      </c>
      <c r="E62" s="289" t="s">
        <v>153</v>
      </c>
      <c r="F62" s="276">
        <f ca="1">INDEX(OFFSET('Adjustment scenario'!$D$1:$W$1,$D62-1,0),MATCH(F$4,'Adjustment scenario'!$D$10:$W$10,0))</f>
        <v>0.16878940196837219</v>
      </c>
      <c r="G62" s="276">
        <f ca="1">INDEX(OFFSET('Adjustment scenario'!$D$1:$W$1,$D62-1,0),MATCH(G$4,'Adjustment scenario'!$D$10:$W$10,0))</f>
        <v>6.180097948242258E-2</v>
      </c>
      <c r="H62" s="276">
        <f ca="1">INDEX(OFFSET('Adjustment scenario'!$D$1:$W$1,$D62-1,0),MATCH(H$4,'Adjustment scenario'!$D$10:$W$10,0))</f>
        <v>0.1044284790055859</v>
      </c>
      <c r="I62" s="276">
        <f ca="1">INDEX(OFFSET('Adjustment scenario'!$D$1:$W$1,$D62-1,0),MATCH(I$4,'Adjustment scenario'!$D$10:$W$10,0))</f>
        <v>0.11480684672180047</v>
      </c>
      <c r="J62" s="276">
        <f ca="1">INDEX(OFFSET('Adjustment scenario'!$D$1:$W$1,$D62-1,0),MATCH(J$4,'Adjustment scenario'!$D$10:$W$10,0))</f>
        <v>0.11055538344291416</v>
      </c>
      <c r="K62" s="276">
        <f ca="1">INDEX(OFFSET('Adjustment scenario'!$D$1:$W$1,$D62-1,0),MATCH(K$4,'Adjustment scenario'!$D$10:$W$10,0))</f>
        <v>0.10233011534861142</v>
      </c>
      <c r="L62" s="276">
        <f ca="1">INDEX(OFFSET('Adjustment scenario'!$D$1:$W$1,$D62-1,0),MATCH(L$4,'Adjustment scenario'!$D$10:$W$10,0))</f>
        <v>0.10324618610933366</v>
      </c>
      <c r="M62" s="276">
        <f ca="1">INDEX(OFFSET('Adjustment scenario'!$D$1:$W$1,$D62-1,0),MATCH(M$4,'Adjustment scenario'!$D$10:$W$10,0))</f>
        <v>0.10388835213342423</v>
      </c>
      <c r="N62" s="276">
        <f ca="1">INDEX(OFFSET('Adjustment scenario'!$D$1:$W$1,$D62-1,0),MATCH(N$4,'Adjustment scenario'!$D$10:$W$10,0))</f>
        <v>0.10449399103388105</v>
      </c>
      <c r="O62" s="276">
        <f ca="1">INDEX(OFFSET('Adjustment scenario'!$D$1:$W$1,$D62-1,0),MATCH(O$4,'Adjustment scenario'!$D$10:$W$10,0))</f>
        <v>0.10533616330592914</v>
      </c>
      <c r="P62" s="276">
        <f ca="1">INDEX(OFFSET('Adjustment scenario'!$D$1:$W$1,$D62-1,0),MATCH(P$4,'Adjustment scenario'!$D$10:$W$10,0))</f>
        <v>0.1056819054311756</v>
      </c>
      <c r="Q62" s="276">
        <f ca="1">INDEX(OFFSET('Adjustment scenario'!$D$1:$W$1,$D62-1,0),MATCH(Q$4,'Adjustment scenario'!$D$10:$W$10,0))</f>
        <v>0.10608148122331802</v>
      </c>
      <c r="R62" s="276">
        <f ca="1">INDEX(OFFSET('Adjustment scenario'!$D$1:$W$1,$D62-1,0),MATCH(R$4,'Adjustment scenario'!$D$10:$W$10,0))</f>
        <v>0.10684639329999188</v>
      </c>
      <c r="S62" s="276">
        <f ca="1">INDEX(OFFSET('Adjustment scenario'!$D$1:$W$1,$D62-1,0),MATCH(S$4,'Adjustment scenario'!$D$10:$W$10,0))</f>
        <v>0.10722150610197717</v>
      </c>
      <c r="T62" s="276">
        <f ca="1">INDEX(OFFSET('Adjustment scenario'!$D$1:$W$1,$D62-1,0),MATCH(T$4,'Adjustment scenario'!$D$10:$W$10,0))</f>
        <v>0.10600750205539</v>
      </c>
      <c r="U62" s="276">
        <f ca="1">INDEX(OFFSET('Adjustment scenario'!$D$1:$W$1,$D62-1,0),MATCH(U$4,'Adjustment scenario'!$D$10:$W$10,0))</f>
        <v>0.10414795194191148</v>
      </c>
      <c r="V62" s="276">
        <f ca="1">INDEX(OFFSET('Adjustment scenario'!$D$1:$W$1,$D62-1,0),MATCH(V$4,'Adjustment scenario'!$D$10:$W$10,0))</f>
        <v>0.10146455199780963</v>
      </c>
      <c r="W62" s="276">
        <f ca="1">INDEX(OFFSET('Adjustment scenario'!$D$1:$W$1,$D62-1,0),MATCH(W$4,'Adjustment scenario'!$D$10:$W$10,0))</f>
        <v>9.8435655272882755E-2</v>
      </c>
      <c r="X62" s="276">
        <f ca="1">INDEX(OFFSET('Adjustment scenario'!$D$1:$W$1,$D62-1,0),MATCH(X$4,'Adjustment scenario'!$D$10:$W$10,0))</f>
        <v>9.5411073307456337E-2</v>
      </c>
      <c r="Y62" s="192"/>
    </row>
    <row r="63" spans="1:2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Criteria results</vt:lpstr>
      <vt:lpstr>Input data</vt:lpstr>
      <vt:lpstr>Baseline NFPC</vt:lpstr>
      <vt:lpstr>Adjustment scenario</vt:lpstr>
      <vt:lpstr>Adjust. no safeguard</vt:lpstr>
      <vt:lpstr>FASTOP reporting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